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9200" windowHeight="11595" tabRatio="860" activeTab="2"/>
  </bookViews>
  <sheets>
    <sheet name="ЖЭУ №3" sheetId="101" r:id="rId1"/>
    <sheet name="Тариф с 01.01.18" sheetId="102" r:id="rId2"/>
    <sheet name="Расчет ПРЭТ 3" sheetId="103" r:id="rId3"/>
    <sheet name="Тех.хар-ка" sheetId="104" r:id="rId4"/>
  </sheets>
  <externalReferences>
    <externalReference r:id="rId5"/>
  </externalReferences>
  <definedNames>
    <definedName name="_xlnm.Print_Titles" localSheetId="0">'ЖЭУ №3'!$5:$5</definedName>
    <definedName name="_xlnm.Print_Area" localSheetId="0">'ЖЭУ №3'!$A$1:$AO$57</definedName>
  </definedNames>
  <calcPr calcId="125725"/>
</workbook>
</file>

<file path=xl/calcChain.xml><?xml version="1.0" encoding="utf-8"?>
<calcChain xmlns="http://schemas.openxmlformats.org/spreadsheetml/2006/main">
  <c r="E72" i="103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D72"/>
  <c r="AH42" i="104"/>
  <c r="F73" i="103"/>
  <c r="AG11" i="104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10"/>
  <c r="AE42"/>
  <c r="AF42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3"/>
  <c r="AF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3"/>
  <c r="AE10"/>
  <c r="Z69" i="103"/>
  <c r="Z67"/>
  <c r="Z65"/>
  <c r="Z63"/>
  <c r="Z61"/>
  <c r="Z59"/>
  <c r="Z57"/>
  <c r="Z55"/>
  <c r="Z53"/>
  <c r="Z51"/>
  <c r="Z49"/>
  <c r="Z47"/>
  <c r="Z45"/>
  <c r="Z43"/>
  <c r="Z41"/>
  <c r="Z39"/>
  <c r="Z37"/>
  <c r="Z35"/>
  <c r="Z33"/>
  <c r="Z31"/>
  <c r="Z29"/>
  <c r="Z27"/>
  <c r="Z25"/>
  <c r="Z23"/>
  <c r="Z21"/>
  <c r="Z19"/>
  <c r="Z17"/>
  <c r="Z15"/>
  <c r="Z13"/>
  <c r="Z11"/>
  <c r="Z9"/>
  <c r="Z7"/>
  <c r="AG69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AA71"/>
  <c r="AB71"/>
  <c r="AC71"/>
  <c r="AD71"/>
  <c r="AE71"/>
  <c r="AF71"/>
  <c r="AH71"/>
  <c r="AI71"/>
  <c r="AJ71"/>
  <c r="AK71"/>
  <c r="AL71"/>
  <c r="AM71"/>
  <c r="AN71"/>
  <c r="D71"/>
  <c r="J42" i="104" l="1"/>
  <c r="J43" s="1"/>
  <c r="K42"/>
  <c r="K43" s="1"/>
  <c r="L42"/>
  <c r="L43" s="1"/>
  <c r="M42"/>
  <c r="M43" s="1"/>
  <c r="N42"/>
  <c r="N43" s="1"/>
  <c r="T42"/>
  <c r="T43" s="1"/>
  <c r="U42"/>
  <c r="U43" s="1"/>
  <c r="I42"/>
  <c r="I43" s="1"/>
  <c r="F42"/>
  <c r="F43" s="1"/>
  <c r="K57"/>
  <c r="L56"/>
  <c r="S50"/>
  <c r="R50"/>
  <c r="Q50"/>
  <c r="P50"/>
  <c r="AD50" s="1"/>
  <c r="AB42"/>
  <c r="AB43" s="1"/>
  <c r="AA42"/>
  <c r="AA43" s="1"/>
  <c r="Z42"/>
  <c r="Z43" s="1"/>
  <c r="Y42"/>
  <c r="Y43" s="1"/>
  <c r="X42"/>
  <c r="X43" s="1"/>
  <c r="W42"/>
  <c r="W43" s="1"/>
  <c r="J59"/>
  <c r="J60" s="1"/>
  <c r="S41"/>
  <c r="R41"/>
  <c r="Q41"/>
  <c r="P41"/>
  <c r="AD41" s="1"/>
  <c r="P40"/>
  <c r="AD40" s="1"/>
  <c r="P39"/>
  <c r="AD39" s="1"/>
  <c r="O38"/>
  <c r="P38" s="1"/>
  <c r="AD38" s="1"/>
  <c r="S37"/>
  <c r="R37"/>
  <c r="Q37"/>
  <c r="P37"/>
  <c r="AD37" s="1"/>
  <c r="S36"/>
  <c r="R36"/>
  <c r="Q36"/>
  <c r="P36"/>
  <c r="AD36" s="1"/>
  <c r="P35"/>
  <c r="C57" i="103" s="1"/>
  <c r="P48" i="104"/>
  <c r="AD48" s="1"/>
  <c r="S34"/>
  <c r="R34"/>
  <c r="Q34"/>
  <c r="O34"/>
  <c r="P34" s="1"/>
  <c r="S33"/>
  <c r="R33"/>
  <c r="Q33"/>
  <c r="P33"/>
  <c r="AD33" s="1"/>
  <c r="P32"/>
  <c r="AD32" s="1"/>
  <c r="P31"/>
  <c r="AD31" s="1"/>
  <c r="O30"/>
  <c r="P30" s="1"/>
  <c r="P29"/>
  <c r="C45" i="103" s="1"/>
  <c r="P28" i="104"/>
  <c r="C43" i="103" s="1"/>
  <c r="P27" i="104"/>
  <c r="C41" i="103" s="1"/>
  <c r="P26" i="104"/>
  <c r="C39" i="103" s="1"/>
  <c r="P25" i="104"/>
  <c r="C37" i="103" s="1"/>
  <c r="P24" i="104"/>
  <c r="C35" i="103" s="1"/>
  <c r="S23" i="104"/>
  <c r="R23"/>
  <c r="Q23"/>
  <c r="P23"/>
  <c r="AD23" s="1"/>
  <c r="S22"/>
  <c r="R22"/>
  <c r="Q22"/>
  <c r="P22"/>
  <c r="AD22" s="1"/>
  <c r="V21"/>
  <c r="S21"/>
  <c r="R21"/>
  <c r="Q21"/>
  <c r="P21"/>
  <c r="C29" i="103" s="1"/>
  <c r="P20" i="104"/>
  <c r="C27" i="103" s="1"/>
  <c r="P19" i="104"/>
  <c r="C25" i="103" s="1"/>
  <c r="P18" i="104"/>
  <c r="C23" i="103" s="1"/>
  <c r="P17" i="104"/>
  <c r="C21" i="103" s="1"/>
  <c r="S16" i="104"/>
  <c r="R16"/>
  <c r="Q16"/>
  <c r="O16"/>
  <c r="P15"/>
  <c r="C17" i="103" s="1"/>
  <c r="V14" i="104"/>
  <c r="P14"/>
  <c r="AD14" s="1"/>
  <c r="V13"/>
  <c r="V42" s="1"/>
  <c r="V43" s="1"/>
  <c r="S13"/>
  <c r="S42" s="1"/>
  <c r="S43" s="1"/>
  <c r="R13"/>
  <c r="R42" s="1"/>
  <c r="R43" s="1"/>
  <c r="Q13"/>
  <c r="Q42" s="1"/>
  <c r="Q43" s="1"/>
  <c r="P13"/>
  <c r="AD13" s="1"/>
  <c r="P12"/>
  <c r="AD12" s="1"/>
  <c r="P11"/>
  <c r="AD11" s="1"/>
  <c r="P10"/>
  <c r="C9" i="103"/>
  <c r="C7"/>
  <c r="AJ8" s="1"/>
  <c r="AA69"/>
  <c r="AA67"/>
  <c r="AG67"/>
  <c r="AA65"/>
  <c r="AG65"/>
  <c r="AA63"/>
  <c r="AG63"/>
  <c r="AA61"/>
  <c r="AG61"/>
  <c r="AA59"/>
  <c r="AG59"/>
  <c r="A59"/>
  <c r="A61" s="1"/>
  <c r="A63" s="1"/>
  <c r="A65" s="1"/>
  <c r="A67" s="1"/>
  <c r="A69" s="1"/>
  <c r="AA57"/>
  <c r="AA55"/>
  <c r="AA53"/>
  <c r="AA51"/>
  <c r="AA49"/>
  <c r="AA47"/>
  <c r="AG47"/>
  <c r="AA45"/>
  <c r="AG45"/>
  <c r="AA43"/>
  <c r="AG43"/>
  <c r="AA41"/>
  <c r="AG41"/>
  <c r="AA39"/>
  <c r="AG39"/>
  <c r="AA37"/>
  <c r="AG37"/>
  <c r="AA35"/>
  <c r="AG35"/>
  <c r="AA33"/>
  <c r="AG33"/>
  <c r="AA31"/>
  <c r="AG31"/>
  <c r="AA29"/>
  <c r="AG29"/>
  <c r="AA27"/>
  <c r="AG27"/>
  <c r="AA25"/>
  <c r="AG25"/>
  <c r="AA23"/>
  <c r="AG23"/>
  <c r="AA21"/>
  <c r="AG21"/>
  <c r="AA19"/>
  <c r="AG19"/>
  <c r="AA17"/>
  <c r="AG17"/>
  <c r="AA15"/>
  <c r="AG15"/>
  <c r="AA13"/>
  <c r="AG13"/>
  <c r="AA11"/>
  <c r="AG11"/>
  <c r="AA9"/>
  <c r="AG9"/>
  <c r="AA7"/>
  <c r="A7"/>
  <c r="A9" s="1"/>
  <c r="A11" s="1"/>
  <c r="A13" s="1"/>
  <c r="A15" s="1"/>
  <c r="A17" s="1"/>
  <c r="A19" s="1"/>
  <c r="A21" s="1"/>
  <c r="A23" s="1"/>
  <c r="A25" s="1"/>
  <c r="A27" s="1"/>
  <c r="A29" s="1"/>
  <c r="A31" s="1"/>
  <c r="A33" s="1"/>
  <c r="A35" s="1"/>
  <c r="A37" s="1"/>
  <c r="A39" s="1"/>
  <c r="A41" s="1"/>
  <c r="A43" s="1"/>
  <c r="A45" s="1"/>
  <c r="A47" s="1"/>
  <c r="A49" s="1"/>
  <c r="A51" s="1"/>
  <c r="A53" s="1"/>
  <c r="A55" s="1"/>
  <c r="AA35" i="102"/>
  <c r="AA36"/>
  <c r="AA37"/>
  <c r="AA38"/>
  <c r="AA39"/>
  <c r="AA40"/>
  <c r="AA34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8"/>
  <c r="AB40"/>
  <c r="Z40"/>
  <c r="AH40" s="1"/>
  <c r="AI40" s="1"/>
  <c r="AB39"/>
  <c r="Z39"/>
  <c r="AH39" s="1"/>
  <c r="AI39" s="1"/>
  <c r="AB38"/>
  <c r="Z38"/>
  <c r="AH38" s="1"/>
  <c r="AI38" s="1"/>
  <c r="AB37"/>
  <c r="Z37"/>
  <c r="AH37" s="1"/>
  <c r="AI37" s="1"/>
  <c r="AB36"/>
  <c r="Z36"/>
  <c r="AH36" s="1"/>
  <c r="AI36" s="1"/>
  <c r="AB35"/>
  <c r="Z35"/>
  <c r="AH35" s="1"/>
  <c r="AI35" s="1"/>
  <c r="A35"/>
  <c r="A36" s="1"/>
  <c r="A37" s="1"/>
  <c r="A38" s="1"/>
  <c r="A39" s="1"/>
  <c r="A40" s="1"/>
  <c r="AB34"/>
  <c r="Z34"/>
  <c r="AB32"/>
  <c r="Z32"/>
  <c r="AB31"/>
  <c r="Z31"/>
  <c r="AB30"/>
  <c r="Z30"/>
  <c r="AB29"/>
  <c r="Z29"/>
  <c r="AB28"/>
  <c r="Z28"/>
  <c r="AB27"/>
  <c r="Z27"/>
  <c r="AB26"/>
  <c r="Z26"/>
  <c r="AB25"/>
  <c r="Z25"/>
  <c r="AB24"/>
  <c r="Z24"/>
  <c r="AB23"/>
  <c r="Z23"/>
  <c r="AB22"/>
  <c r="Z22"/>
  <c r="AB21"/>
  <c r="Z21"/>
  <c r="AB20"/>
  <c r="Z20"/>
  <c r="AB19"/>
  <c r="Z19"/>
  <c r="AH19" s="1"/>
  <c r="AI19" s="1"/>
  <c r="AB18"/>
  <c r="Z18"/>
  <c r="AH18" s="1"/>
  <c r="AI18" s="1"/>
  <c r="AB17"/>
  <c r="Z17"/>
  <c r="AH17" s="1"/>
  <c r="AI17" s="1"/>
  <c r="AB16"/>
  <c r="Z16"/>
  <c r="AH16" s="1"/>
  <c r="AI16" s="1"/>
  <c r="AB15"/>
  <c r="Z15"/>
  <c r="AH15" s="1"/>
  <c r="AI15" s="1"/>
  <c r="AB14"/>
  <c r="Z14"/>
  <c r="AH14" s="1"/>
  <c r="AI14" s="1"/>
  <c r="AB13"/>
  <c r="Z13"/>
  <c r="AH13" s="1"/>
  <c r="AI13" s="1"/>
  <c r="AB12"/>
  <c r="Z12"/>
  <c r="AH12" s="1"/>
  <c r="AI12" s="1"/>
  <c r="AB11"/>
  <c r="Z11"/>
  <c r="AH11" s="1"/>
  <c r="AI11" s="1"/>
  <c r="AB10"/>
  <c r="Z10"/>
  <c r="AH10" s="1"/>
  <c r="AI10" s="1"/>
  <c r="AB9"/>
  <c r="Z9"/>
  <c r="AH9" s="1"/>
  <c r="AI9" s="1"/>
  <c r="AB8"/>
  <c r="AN8"/>
  <c r="AO8" s="1"/>
  <c r="Z8"/>
  <c r="AH8" s="1"/>
  <c r="AI8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T8" i="101"/>
  <c r="AU8" s="1"/>
  <c r="AJ10" i="103" l="1"/>
  <c r="AH10"/>
  <c r="AA10"/>
  <c r="Y10"/>
  <c r="W10"/>
  <c r="U10"/>
  <c r="S10"/>
  <c r="Q10"/>
  <c r="O10"/>
  <c r="I10"/>
  <c r="G10"/>
  <c r="E10"/>
  <c r="AK10"/>
  <c r="AI10"/>
  <c r="AG10"/>
  <c r="Z10"/>
  <c r="X10"/>
  <c r="V10"/>
  <c r="T10"/>
  <c r="R10"/>
  <c r="P10"/>
  <c r="N10"/>
  <c r="H10"/>
  <c r="F10"/>
  <c r="D10"/>
  <c r="AL10" s="1"/>
  <c r="AJ22"/>
  <c r="AH22"/>
  <c r="AA22"/>
  <c r="Y22"/>
  <c r="W22"/>
  <c r="U22"/>
  <c r="S22"/>
  <c r="Q22"/>
  <c r="O22"/>
  <c r="I22"/>
  <c r="G22"/>
  <c r="E22"/>
  <c r="AK22"/>
  <c r="AI22"/>
  <c r="AG22"/>
  <c r="Z22"/>
  <c r="X22"/>
  <c r="V22"/>
  <c r="T22"/>
  <c r="R22"/>
  <c r="P22"/>
  <c r="N22"/>
  <c r="H22"/>
  <c r="F22"/>
  <c r="AM22" s="1"/>
  <c r="D22"/>
  <c r="AJ26"/>
  <c r="AH26"/>
  <c r="AA26"/>
  <c r="Y26"/>
  <c r="W26"/>
  <c r="U26"/>
  <c r="S26"/>
  <c r="Q26"/>
  <c r="O26"/>
  <c r="I26"/>
  <c r="G26"/>
  <c r="E26"/>
  <c r="AK26"/>
  <c r="AI26"/>
  <c r="AG26"/>
  <c r="Z26"/>
  <c r="X26"/>
  <c r="V26"/>
  <c r="T26"/>
  <c r="R26"/>
  <c r="P26"/>
  <c r="N26"/>
  <c r="H26"/>
  <c r="F26"/>
  <c r="D26"/>
  <c r="AL26" s="1"/>
  <c r="AJ30"/>
  <c r="AH30"/>
  <c r="AA30"/>
  <c r="Y30"/>
  <c r="W30"/>
  <c r="U30"/>
  <c r="AK30"/>
  <c r="AI30"/>
  <c r="AG30"/>
  <c r="Z30"/>
  <c r="X30"/>
  <c r="V30"/>
  <c r="S30"/>
  <c r="Q30"/>
  <c r="O30"/>
  <c r="I30"/>
  <c r="G30"/>
  <c r="E30"/>
  <c r="T30"/>
  <c r="R30"/>
  <c r="P30"/>
  <c r="N30"/>
  <c r="H30"/>
  <c r="F30"/>
  <c r="AM30" s="1"/>
  <c r="D30"/>
  <c r="AJ38"/>
  <c r="AH38"/>
  <c r="AA38"/>
  <c r="Y38"/>
  <c r="W38"/>
  <c r="U38"/>
  <c r="S38"/>
  <c r="Q38"/>
  <c r="O38"/>
  <c r="I38"/>
  <c r="G38"/>
  <c r="E38"/>
  <c r="AK38"/>
  <c r="AI38"/>
  <c r="AG38"/>
  <c r="Z38"/>
  <c r="X38"/>
  <c r="V38"/>
  <c r="T38"/>
  <c r="R38"/>
  <c r="P38"/>
  <c r="N38"/>
  <c r="H38"/>
  <c r="F38"/>
  <c r="D38"/>
  <c r="AL38" s="1"/>
  <c r="AJ42"/>
  <c r="AH42"/>
  <c r="AA42"/>
  <c r="Y42"/>
  <c r="W42"/>
  <c r="U42"/>
  <c r="S42"/>
  <c r="Q42"/>
  <c r="O42"/>
  <c r="I42"/>
  <c r="G42"/>
  <c r="E42"/>
  <c r="AK42"/>
  <c r="AI42"/>
  <c r="AG42"/>
  <c r="Z42"/>
  <c r="X42"/>
  <c r="V42"/>
  <c r="T42"/>
  <c r="R42"/>
  <c r="P42"/>
  <c r="N42"/>
  <c r="H42"/>
  <c r="F42"/>
  <c r="AM42" s="1"/>
  <c r="D42"/>
  <c r="AJ46"/>
  <c r="AH46"/>
  <c r="AA46"/>
  <c r="Y46"/>
  <c r="W46"/>
  <c r="U46"/>
  <c r="S46"/>
  <c r="Q46"/>
  <c r="O46"/>
  <c r="I46"/>
  <c r="G46"/>
  <c r="E46"/>
  <c r="AK46"/>
  <c r="AI46"/>
  <c r="AG46"/>
  <c r="Z46"/>
  <c r="X46"/>
  <c r="V46"/>
  <c r="T46"/>
  <c r="R46"/>
  <c r="P46"/>
  <c r="N46"/>
  <c r="H46"/>
  <c r="F46"/>
  <c r="D46"/>
  <c r="AL46" s="1"/>
  <c r="AJ18"/>
  <c r="AH18"/>
  <c r="AA18"/>
  <c r="Y18"/>
  <c r="W18"/>
  <c r="U18"/>
  <c r="S18"/>
  <c r="Q18"/>
  <c r="O18"/>
  <c r="I18"/>
  <c r="G18"/>
  <c r="E18"/>
  <c r="AK18"/>
  <c r="AI18"/>
  <c r="AG18"/>
  <c r="Z18"/>
  <c r="X18"/>
  <c r="V18"/>
  <c r="T18"/>
  <c r="R18"/>
  <c r="P18"/>
  <c r="N18"/>
  <c r="H18"/>
  <c r="F18"/>
  <c r="AM18" s="1"/>
  <c r="D18"/>
  <c r="AK24"/>
  <c r="AI24"/>
  <c r="AG24"/>
  <c r="Z24"/>
  <c r="X24"/>
  <c r="V24"/>
  <c r="T24"/>
  <c r="R24"/>
  <c r="P24"/>
  <c r="N24"/>
  <c r="H24"/>
  <c r="F24"/>
  <c r="D24"/>
  <c r="AJ24"/>
  <c r="AH24"/>
  <c r="AN24" s="1"/>
  <c r="AA24"/>
  <c r="Y24"/>
  <c r="W24"/>
  <c r="U24"/>
  <c r="S24"/>
  <c r="Q24"/>
  <c r="O24"/>
  <c r="I24"/>
  <c r="G24"/>
  <c r="E24"/>
  <c r="AK28"/>
  <c r="AI28"/>
  <c r="AG28"/>
  <c r="Z28"/>
  <c r="X28"/>
  <c r="V28"/>
  <c r="T28"/>
  <c r="R28"/>
  <c r="P28"/>
  <c r="N28"/>
  <c r="H28"/>
  <c r="F28"/>
  <c r="D28"/>
  <c r="AJ28"/>
  <c r="AH28"/>
  <c r="AA28"/>
  <c r="Y28"/>
  <c r="W28"/>
  <c r="U28"/>
  <c r="S28"/>
  <c r="Q28"/>
  <c r="O28"/>
  <c r="I28"/>
  <c r="G28"/>
  <c r="E28"/>
  <c r="AK36"/>
  <c r="AI36"/>
  <c r="AG36"/>
  <c r="Z36"/>
  <c r="X36"/>
  <c r="V36"/>
  <c r="T36"/>
  <c r="R36"/>
  <c r="P36"/>
  <c r="N36"/>
  <c r="H36"/>
  <c r="F36"/>
  <c r="D36"/>
  <c r="AJ36"/>
  <c r="AH36"/>
  <c r="AN36" s="1"/>
  <c r="AA36"/>
  <c r="Y36"/>
  <c r="W36"/>
  <c r="U36"/>
  <c r="S36"/>
  <c r="Q36"/>
  <c r="O36"/>
  <c r="I36"/>
  <c r="G36"/>
  <c r="E36"/>
  <c r="AK40"/>
  <c r="AI40"/>
  <c r="AG40"/>
  <c r="Z40"/>
  <c r="X40"/>
  <c r="V40"/>
  <c r="T40"/>
  <c r="R40"/>
  <c r="P40"/>
  <c r="N40"/>
  <c r="H40"/>
  <c r="F40"/>
  <c r="D40"/>
  <c r="AJ40"/>
  <c r="AH40"/>
  <c r="AA40"/>
  <c r="Y40"/>
  <c r="W40"/>
  <c r="U40"/>
  <c r="S40"/>
  <c r="Q40"/>
  <c r="O40"/>
  <c r="I40"/>
  <c r="G40"/>
  <c r="E40"/>
  <c r="AK44"/>
  <c r="AI44"/>
  <c r="AG44"/>
  <c r="Z44"/>
  <c r="X44"/>
  <c r="V44"/>
  <c r="T44"/>
  <c r="R44"/>
  <c r="P44"/>
  <c r="N44"/>
  <c r="H44"/>
  <c r="F44"/>
  <c r="D44"/>
  <c r="AJ44"/>
  <c r="AH44"/>
  <c r="AN44" s="1"/>
  <c r="AA44"/>
  <c r="Y44"/>
  <c r="W44"/>
  <c r="U44"/>
  <c r="S44"/>
  <c r="Q44"/>
  <c r="O44"/>
  <c r="I44"/>
  <c r="G44"/>
  <c r="E44"/>
  <c r="AJ58"/>
  <c r="AH58"/>
  <c r="AA58"/>
  <c r="Y58"/>
  <c r="W58"/>
  <c r="U58"/>
  <c r="S58"/>
  <c r="Q58"/>
  <c r="O58"/>
  <c r="I58"/>
  <c r="G58"/>
  <c r="E58"/>
  <c r="AK58"/>
  <c r="AI58"/>
  <c r="Z58"/>
  <c r="X58"/>
  <c r="V58"/>
  <c r="T58"/>
  <c r="R58"/>
  <c r="P58"/>
  <c r="N58"/>
  <c r="H58"/>
  <c r="F58"/>
  <c r="AM58" s="1"/>
  <c r="D58"/>
  <c r="AG7"/>
  <c r="E8"/>
  <c r="G8"/>
  <c r="I8"/>
  <c r="O8"/>
  <c r="Q8"/>
  <c r="S8"/>
  <c r="U8"/>
  <c r="W8"/>
  <c r="Y8"/>
  <c r="AA8"/>
  <c r="AI8"/>
  <c r="AK8"/>
  <c r="AG49"/>
  <c r="AG51"/>
  <c r="AG53"/>
  <c r="AG55"/>
  <c r="AG57"/>
  <c r="AG58" s="1"/>
  <c r="D8"/>
  <c r="F8"/>
  <c r="H8"/>
  <c r="N8"/>
  <c r="P8"/>
  <c r="R8"/>
  <c r="T8"/>
  <c r="V8"/>
  <c r="X8"/>
  <c r="Z8"/>
  <c r="AG8"/>
  <c r="AH8"/>
  <c r="O42" i="104"/>
  <c r="O43" s="1"/>
  <c r="AD35"/>
  <c r="R44"/>
  <c r="AD15"/>
  <c r="P16"/>
  <c r="AD16" s="1"/>
  <c r="AD34"/>
  <c r="C55" i="103"/>
  <c r="AD30" i="104"/>
  <c r="C47" i="103"/>
  <c r="AD17" i="104"/>
  <c r="AD18"/>
  <c r="AD19"/>
  <c r="AD20"/>
  <c r="AD21"/>
  <c r="AD24"/>
  <c r="AD25"/>
  <c r="AD26"/>
  <c r="AD27"/>
  <c r="AD28"/>
  <c r="AD29"/>
  <c r="C13" i="103"/>
  <c r="C33"/>
  <c r="C49"/>
  <c r="C53"/>
  <c r="C61"/>
  <c r="C65"/>
  <c r="C69"/>
  <c r="C11"/>
  <c r="C15"/>
  <c r="C19"/>
  <c r="C31"/>
  <c r="C51"/>
  <c r="C59"/>
  <c r="C63"/>
  <c r="C67"/>
  <c r="AD10" i="104"/>
  <c r="AH20" i="102"/>
  <c r="AI20" s="1"/>
  <c r="AH21"/>
  <c r="AI21" s="1"/>
  <c r="AH22"/>
  <c r="AI22" s="1"/>
  <c r="AH23"/>
  <c r="AI23" s="1"/>
  <c r="AH24"/>
  <c r="AI24" s="1"/>
  <c r="AH25"/>
  <c r="AI25" s="1"/>
  <c r="AH26"/>
  <c r="AI26" s="1"/>
  <c r="AH27"/>
  <c r="AI27" s="1"/>
  <c r="AH28"/>
  <c r="AI28" s="1"/>
  <c r="AH29"/>
  <c r="AI29" s="1"/>
  <c r="AH30"/>
  <c r="AI30" s="1"/>
  <c r="AH31"/>
  <c r="AI31" s="1"/>
  <c r="AH32"/>
  <c r="AI32" s="1"/>
  <c r="AH34"/>
  <c r="AI34" s="1"/>
  <c r="AE25" i="101"/>
  <c r="AF25"/>
  <c r="AG25"/>
  <c r="AM25" s="1"/>
  <c r="AN25" s="1"/>
  <c r="AE40"/>
  <c r="AF40"/>
  <c r="AG40"/>
  <c r="AF38"/>
  <c r="AF37"/>
  <c r="AF36"/>
  <c r="AF39"/>
  <c r="AF35"/>
  <c r="AF34"/>
  <c r="AF61"/>
  <c r="AF32"/>
  <c r="AF31"/>
  <c r="AF30"/>
  <c r="AF29"/>
  <c r="AF28"/>
  <c r="AF27"/>
  <c r="AF26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43"/>
  <c r="AF46"/>
  <c r="AF49"/>
  <c r="AF50"/>
  <c r="AF51"/>
  <c r="AF52"/>
  <c r="AF53"/>
  <c r="AG39"/>
  <c r="AG38"/>
  <c r="AG37"/>
  <c r="AG36"/>
  <c r="AG35"/>
  <c r="AG34"/>
  <c r="AG32"/>
  <c r="AG31"/>
  <c r="AG30"/>
  <c r="AG29"/>
  <c r="AG28"/>
  <c r="AG27"/>
  <c r="AG26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61" s="1"/>
  <c r="A35"/>
  <c r="A36" s="1"/>
  <c r="A37" s="1"/>
  <c r="A38" s="1"/>
  <c r="A39" s="1"/>
  <c r="A40" s="1"/>
  <c r="AE8"/>
  <c r="AE9"/>
  <c r="AM9" s="1"/>
  <c r="AN9" s="1"/>
  <c r="AE10"/>
  <c r="AE11"/>
  <c r="AM11" s="1"/>
  <c r="AN11" s="1"/>
  <c r="AE12"/>
  <c r="AE13"/>
  <c r="AE14"/>
  <c r="AE15"/>
  <c r="AM15" s="1"/>
  <c r="AN15" s="1"/>
  <c r="AE16"/>
  <c r="AE17"/>
  <c r="AE18"/>
  <c r="AE19"/>
  <c r="AM19" s="1"/>
  <c r="AN19" s="1"/>
  <c r="AE20"/>
  <c r="AE21"/>
  <c r="AM21" s="1"/>
  <c r="AN21" s="1"/>
  <c r="AE22"/>
  <c r="AE23"/>
  <c r="AM23" s="1"/>
  <c r="AN23" s="1"/>
  <c r="AE24"/>
  <c r="AE26"/>
  <c r="AE27"/>
  <c r="AM27"/>
  <c r="AN27" s="1"/>
  <c r="AE28"/>
  <c r="AE29"/>
  <c r="AM29" s="1"/>
  <c r="AN29" s="1"/>
  <c r="AE30"/>
  <c r="AE31"/>
  <c r="AE32"/>
  <c r="AE61"/>
  <c r="AM61" s="1"/>
  <c r="AN61" s="1"/>
  <c r="AE34"/>
  <c r="AE35"/>
  <c r="AM35" s="1"/>
  <c r="AN35" s="1"/>
  <c r="AE36"/>
  <c r="AM36" s="1"/>
  <c r="AN36" s="1"/>
  <c r="AE37"/>
  <c r="AE38"/>
  <c r="AM38" s="1"/>
  <c r="AN38" s="1"/>
  <c r="AE39"/>
  <c r="AM39" s="1"/>
  <c r="AN39" s="1"/>
  <c r="AM34"/>
  <c r="AN34" s="1"/>
  <c r="AM30"/>
  <c r="AN30" s="1"/>
  <c r="AM26"/>
  <c r="AN26" s="1"/>
  <c r="AM22"/>
  <c r="AN22" s="1"/>
  <c r="AM18"/>
  <c r="AN18" s="1"/>
  <c r="AM14"/>
  <c r="AN14" s="1"/>
  <c r="AM10"/>
  <c r="AN10" s="1"/>
  <c r="AM37"/>
  <c r="AN37" s="1"/>
  <c r="AM32"/>
  <c r="AN32" s="1"/>
  <c r="AM28"/>
  <c r="AN28" s="1"/>
  <c r="AM24"/>
  <c r="AN24" s="1"/>
  <c r="AM20"/>
  <c r="AN20" s="1"/>
  <c r="AM16"/>
  <c r="AN16" s="1"/>
  <c r="AM12"/>
  <c r="AN12" s="1"/>
  <c r="AM8"/>
  <c r="AN8" s="1"/>
  <c r="Z41"/>
  <c r="Z44" s="1"/>
  <c r="Z47" s="1"/>
  <c r="Z48" s="1"/>
  <c r="AM31"/>
  <c r="AN31" s="1"/>
  <c r="AM13"/>
  <c r="AN13" s="1"/>
  <c r="AM17"/>
  <c r="AN17" s="1"/>
  <c r="I41"/>
  <c r="I42" s="1"/>
  <c r="Z42"/>
  <c r="Z45" s="1"/>
  <c r="L41"/>
  <c r="L44" s="1"/>
  <c r="L47" s="1"/>
  <c r="L48" s="1"/>
  <c r="E41"/>
  <c r="E42" s="1"/>
  <c r="E45" s="1"/>
  <c r="AO7"/>
  <c r="D41"/>
  <c r="D42" s="1"/>
  <c r="D45" s="1"/>
  <c r="J41"/>
  <c r="J42" s="1"/>
  <c r="J45" s="1"/>
  <c r="K41"/>
  <c r="K42" s="1"/>
  <c r="K45" s="1"/>
  <c r="AE41"/>
  <c r="N41"/>
  <c r="N42" s="1"/>
  <c r="N45" s="1"/>
  <c r="H41"/>
  <c r="F41"/>
  <c r="F42" s="1"/>
  <c r="F45" s="1"/>
  <c r="AD41"/>
  <c r="M41"/>
  <c r="G41"/>
  <c r="G42" s="1"/>
  <c r="G45" s="1"/>
  <c r="AG41"/>
  <c r="H42"/>
  <c r="H45" s="1"/>
  <c r="H44"/>
  <c r="H47" s="1"/>
  <c r="H48" s="1"/>
  <c r="N44"/>
  <c r="N47" s="1"/>
  <c r="N48" s="1"/>
  <c r="M42"/>
  <c r="M45" s="1"/>
  <c r="M44"/>
  <c r="M47" s="1"/>
  <c r="M48" s="1"/>
  <c r="AD44"/>
  <c r="AD47" s="1"/>
  <c r="AD54" s="1"/>
  <c r="AD42"/>
  <c r="AD45" s="1"/>
  <c r="AE42"/>
  <c r="AE45" s="1"/>
  <c r="AE44"/>
  <c r="AE47" s="1"/>
  <c r="AE48" s="1"/>
  <c r="F44"/>
  <c r="F47" s="1"/>
  <c r="D44"/>
  <c r="D47"/>
  <c r="D48" s="1"/>
  <c r="L42"/>
  <c r="L45" s="1"/>
  <c r="E44"/>
  <c r="AK68" i="103" l="1"/>
  <c r="AI68"/>
  <c r="AG68"/>
  <c r="Z68"/>
  <c r="X68"/>
  <c r="V68"/>
  <c r="T68"/>
  <c r="R68"/>
  <c r="P68"/>
  <c r="N68"/>
  <c r="H68"/>
  <c r="F68"/>
  <c r="D68"/>
  <c r="AJ68"/>
  <c r="AH68"/>
  <c r="AN68" s="1"/>
  <c r="AA68"/>
  <c r="Y68"/>
  <c r="W68"/>
  <c r="U68"/>
  <c r="S68"/>
  <c r="Q68"/>
  <c r="O68"/>
  <c r="I68"/>
  <c r="G68"/>
  <c r="E68"/>
  <c r="AK60"/>
  <c r="AI60"/>
  <c r="AG60"/>
  <c r="Z60"/>
  <c r="X60"/>
  <c r="V60"/>
  <c r="T60"/>
  <c r="R60"/>
  <c r="P60"/>
  <c r="N60"/>
  <c r="H60"/>
  <c r="F60"/>
  <c r="D60"/>
  <c r="AJ60"/>
  <c r="AH60"/>
  <c r="AA60"/>
  <c r="Y60"/>
  <c r="W60"/>
  <c r="U60"/>
  <c r="S60"/>
  <c r="Q60"/>
  <c r="O60"/>
  <c r="I60"/>
  <c r="G60"/>
  <c r="E60"/>
  <c r="AK32"/>
  <c r="AI32"/>
  <c r="AG32"/>
  <c r="Z32"/>
  <c r="X32"/>
  <c r="V32"/>
  <c r="T32"/>
  <c r="R32"/>
  <c r="P32"/>
  <c r="N32"/>
  <c r="H32"/>
  <c r="F32"/>
  <c r="D32"/>
  <c r="AJ32"/>
  <c r="AH32"/>
  <c r="AN32" s="1"/>
  <c r="AA32"/>
  <c r="Y32"/>
  <c r="W32"/>
  <c r="U32"/>
  <c r="S32"/>
  <c r="Q32"/>
  <c r="O32"/>
  <c r="I32"/>
  <c r="G32"/>
  <c r="E32"/>
  <c r="AK16"/>
  <c r="AI16"/>
  <c r="AG16"/>
  <c r="Z16"/>
  <c r="X16"/>
  <c r="V16"/>
  <c r="T16"/>
  <c r="R16"/>
  <c r="P16"/>
  <c r="N16"/>
  <c r="H16"/>
  <c r="F16"/>
  <c r="D16"/>
  <c r="AJ16"/>
  <c r="AH16"/>
  <c r="AA16"/>
  <c r="Y16"/>
  <c r="W16"/>
  <c r="U16"/>
  <c r="S16"/>
  <c r="Q16"/>
  <c r="O16"/>
  <c r="I16"/>
  <c r="G16"/>
  <c r="E16"/>
  <c r="AJ70"/>
  <c r="AH70"/>
  <c r="AA70"/>
  <c r="Y70"/>
  <c r="W70"/>
  <c r="U70"/>
  <c r="S70"/>
  <c r="Q70"/>
  <c r="O70"/>
  <c r="I70"/>
  <c r="G70"/>
  <c r="E70"/>
  <c r="AK70"/>
  <c r="AI70"/>
  <c r="AG70"/>
  <c r="Z70"/>
  <c r="X70"/>
  <c r="V70"/>
  <c r="T70"/>
  <c r="R70"/>
  <c r="P70"/>
  <c r="N70"/>
  <c r="H70"/>
  <c r="F70"/>
  <c r="D70"/>
  <c r="AL70" s="1"/>
  <c r="AJ62"/>
  <c r="AH62"/>
  <c r="AA62"/>
  <c r="Y62"/>
  <c r="W62"/>
  <c r="U62"/>
  <c r="S62"/>
  <c r="Q62"/>
  <c r="O62"/>
  <c r="I62"/>
  <c r="G62"/>
  <c r="E62"/>
  <c r="AK62"/>
  <c r="AI62"/>
  <c r="AG62"/>
  <c r="Z62"/>
  <c r="X62"/>
  <c r="V62"/>
  <c r="T62"/>
  <c r="R62"/>
  <c r="P62"/>
  <c r="N62"/>
  <c r="H62"/>
  <c r="F62"/>
  <c r="AM62" s="1"/>
  <c r="D62"/>
  <c r="AJ50"/>
  <c r="AH50"/>
  <c r="AA50"/>
  <c r="Y50"/>
  <c r="W50"/>
  <c r="U50"/>
  <c r="S50"/>
  <c r="Q50"/>
  <c r="O50"/>
  <c r="I50"/>
  <c r="G50"/>
  <c r="E50"/>
  <c r="AK50"/>
  <c r="AI50"/>
  <c r="AG50"/>
  <c r="Z50"/>
  <c r="X50"/>
  <c r="V50"/>
  <c r="T50"/>
  <c r="R50"/>
  <c r="P50"/>
  <c r="N50"/>
  <c r="H50"/>
  <c r="F50"/>
  <c r="D50"/>
  <c r="AL50" s="1"/>
  <c r="AJ14"/>
  <c r="AH14"/>
  <c r="AA14"/>
  <c r="Y14"/>
  <c r="W14"/>
  <c r="U14"/>
  <c r="S14"/>
  <c r="Q14"/>
  <c r="O14"/>
  <c r="I14"/>
  <c r="G14"/>
  <c r="E14"/>
  <c r="AK14"/>
  <c r="AI14"/>
  <c r="AG14"/>
  <c r="Z14"/>
  <c r="X14"/>
  <c r="V14"/>
  <c r="T14"/>
  <c r="R14"/>
  <c r="P14"/>
  <c r="N14"/>
  <c r="H14"/>
  <c r="F14"/>
  <c r="AM14" s="1"/>
  <c r="D14"/>
  <c r="AK48"/>
  <c r="AI48"/>
  <c r="AG48"/>
  <c r="Z48"/>
  <c r="X48"/>
  <c r="V48"/>
  <c r="T48"/>
  <c r="R48"/>
  <c r="P48"/>
  <c r="N48"/>
  <c r="H48"/>
  <c r="F48"/>
  <c r="D48"/>
  <c r="AJ48"/>
  <c r="AH48"/>
  <c r="AN48" s="1"/>
  <c r="AA48"/>
  <c r="Y48"/>
  <c r="W48"/>
  <c r="U48"/>
  <c r="S48"/>
  <c r="Q48"/>
  <c r="O48"/>
  <c r="I48"/>
  <c r="G48"/>
  <c r="E48"/>
  <c r="AK56"/>
  <c r="AI56"/>
  <c r="AG56"/>
  <c r="Z56"/>
  <c r="X56"/>
  <c r="V56"/>
  <c r="T56"/>
  <c r="R56"/>
  <c r="P56"/>
  <c r="N56"/>
  <c r="H56"/>
  <c r="F56"/>
  <c r="D56"/>
  <c r="AJ56"/>
  <c r="AH56"/>
  <c r="AA56"/>
  <c r="Y56"/>
  <c r="W56"/>
  <c r="U56"/>
  <c r="S56"/>
  <c r="Q56"/>
  <c r="O56"/>
  <c r="I56"/>
  <c r="G56"/>
  <c r="E56"/>
  <c r="AL8"/>
  <c r="AN58"/>
  <c r="AL44"/>
  <c r="AM40"/>
  <c r="AL36"/>
  <c r="AM28"/>
  <c r="AL24"/>
  <c r="AN18"/>
  <c r="AN42"/>
  <c r="AN30"/>
  <c r="AN22"/>
  <c r="AK64"/>
  <c r="AI64"/>
  <c r="AG64"/>
  <c r="Z64"/>
  <c r="X64"/>
  <c r="V64"/>
  <c r="T64"/>
  <c r="R64"/>
  <c r="P64"/>
  <c r="N64"/>
  <c r="H64"/>
  <c r="F64"/>
  <c r="D64"/>
  <c r="AJ64"/>
  <c r="AH64"/>
  <c r="AA64"/>
  <c r="Y64"/>
  <c r="W64"/>
  <c r="U64"/>
  <c r="S64"/>
  <c r="Q64"/>
  <c r="O64"/>
  <c r="I64"/>
  <c r="G64"/>
  <c r="E64"/>
  <c r="AK52"/>
  <c r="AI52"/>
  <c r="AG52"/>
  <c r="Z52"/>
  <c r="X52"/>
  <c r="V52"/>
  <c r="T52"/>
  <c r="R52"/>
  <c r="P52"/>
  <c r="N52"/>
  <c r="H52"/>
  <c r="F52"/>
  <c r="D52"/>
  <c r="AJ52"/>
  <c r="AH52"/>
  <c r="AN52" s="1"/>
  <c r="AA52"/>
  <c r="Y52"/>
  <c r="W52"/>
  <c r="U52"/>
  <c r="S52"/>
  <c r="Q52"/>
  <c r="O52"/>
  <c r="I52"/>
  <c r="G52"/>
  <c r="E52"/>
  <c r="AK20"/>
  <c r="AI20"/>
  <c r="AG20"/>
  <c r="Z20"/>
  <c r="X20"/>
  <c r="V20"/>
  <c r="T20"/>
  <c r="R20"/>
  <c r="P20"/>
  <c r="N20"/>
  <c r="H20"/>
  <c r="F20"/>
  <c r="D20"/>
  <c r="AJ20"/>
  <c r="AH20"/>
  <c r="AA20"/>
  <c r="Y20"/>
  <c r="W20"/>
  <c r="U20"/>
  <c r="S20"/>
  <c r="Q20"/>
  <c r="O20"/>
  <c r="I20"/>
  <c r="G20"/>
  <c r="E20"/>
  <c r="AK12"/>
  <c r="AI12"/>
  <c r="AG12"/>
  <c r="Z12"/>
  <c r="X12"/>
  <c r="V12"/>
  <c r="T12"/>
  <c r="R12"/>
  <c r="P12"/>
  <c r="N12"/>
  <c r="H12"/>
  <c r="F12"/>
  <c r="D12"/>
  <c r="AJ12"/>
  <c r="AH12"/>
  <c r="AN12" s="1"/>
  <c r="AA12"/>
  <c r="Y12"/>
  <c r="W12"/>
  <c r="U12"/>
  <c r="S12"/>
  <c r="Q12"/>
  <c r="O12"/>
  <c r="I12"/>
  <c r="G12"/>
  <c r="E12"/>
  <c r="AJ66"/>
  <c r="AH66"/>
  <c r="AA66"/>
  <c r="Y66"/>
  <c r="W66"/>
  <c r="U66"/>
  <c r="S66"/>
  <c r="Q66"/>
  <c r="O66"/>
  <c r="I66"/>
  <c r="G66"/>
  <c r="E66"/>
  <c r="AK66"/>
  <c r="AI66"/>
  <c r="AG66"/>
  <c r="Z66"/>
  <c r="X66"/>
  <c r="V66"/>
  <c r="T66"/>
  <c r="R66"/>
  <c r="P66"/>
  <c r="N66"/>
  <c r="H66"/>
  <c r="F66"/>
  <c r="AM66" s="1"/>
  <c r="D66"/>
  <c r="AJ54"/>
  <c r="AH54"/>
  <c r="AA54"/>
  <c r="Y54"/>
  <c r="W54"/>
  <c r="U54"/>
  <c r="S54"/>
  <c r="Q54"/>
  <c r="O54"/>
  <c r="I54"/>
  <c r="G54"/>
  <c r="E54"/>
  <c r="AK54"/>
  <c r="AI54"/>
  <c r="AG54"/>
  <c r="Z54"/>
  <c r="X54"/>
  <c r="V54"/>
  <c r="T54"/>
  <c r="R54"/>
  <c r="P54"/>
  <c r="N54"/>
  <c r="H54"/>
  <c r="F54"/>
  <c r="D54"/>
  <c r="AL54" s="1"/>
  <c r="AJ34"/>
  <c r="AH34"/>
  <c r="AA34"/>
  <c r="Y34"/>
  <c r="W34"/>
  <c r="U34"/>
  <c r="S34"/>
  <c r="Q34"/>
  <c r="O34"/>
  <c r="I34"/>
  <c r="G34"/>
  <c r="E34"/>
  <c r="AK34"/>
  <c r="AI34"/>
  <c r="AG34"/>
  <c r="Z34"/>
  <c r="X34"/>
  <c r="V34"/>
  <c r="T34"/>
  <c r="R34"/>
  <c r="P34"/>
  <c r="N34"/>
  <c r="H34"/>
  <c r="F34"/>
  <c r="AM34" s="1"/>
  <c r="D34"/>
  <c r="AN8"/>
  <c r="AM8"/>
  <c r="AL58"/>
  <c r="AM44"/>
  <c r="AN40"/>
  <c r="AL40"/>
  <c r="AM36"/>
  <c r="AN28"/>
  <c r="AL28"/>
  <c r="AM24"/>
  <c r="AL18"/>
  <c r="AM46"/>
  <c r="AN46"/>
  <c r="AL42"/>
  <c r="AM38"/>
  <c r="AN38"/>
  <c r="AL30"/>
  <c r="AM26"/>
  <c r="AN26"/>
  <c r="AL22"/>
  <c r="AM10"/>
  <c r="AN10"/>
  <c r="P42" i="104"/>
  <c r="P43" s="1"/>
  <c r="AM40" i="101"/>
  <c r="AN40" s="1"/>
  <c r="AF41"/>
  <c r="K44"/>
  <c r="K47" s="1"/>
  <c r="K48" s="1"/>
  <c r="E47"/>
  <c r="E48" s="1"/>
  <c r="G44"/>
  <c r="G47" s="1"/>
  <c r="G48" s="1"/>
  <c r="J44"/>
  <c r="J47" s="1"/>
  <c r="J48" s="1"/>
  <c r="I44"/>
  <c r="I47" s="1"/>
  <c r="I48" s="1"/>
  <c r="I45"/>
  <c r="AF42"/>
  <c r="AF45"/>
  <c r="F48"/>
  <c r="AD55"/>
  <c r="AF55" s="1"/>
  <c r="AF54"/>
  <c r="AF47"/>
  <c r="AD48"/>
  <c r="AF48" s="1"/>
  <c r="AG71" i="103" l="1"/>
  <c r="Z71"/>
  <c r="AN34"/>
  <c r="AN66"/>
  <c r="AL12"/>
  <c r="AM20"/>
  <c r="AL52"/>
  <c r="AM64"/>
  <c r="AM56"/>
  <c r="AL48"/>
  <c r="AN14"/>
  <c r="AN62"/>
  <c r="AM16"/>
  <c r="AL32"/>
  <c r="AM60"/>
  <c r="AL68"/>
  <c r="AL34"/>
  <c r="AM54"/>
  <c r="AN54"/>
  <c r="AL66"/>
  <c r="AM12"/>
  <c r="AN20"/>
  <c r="AL20"/>
  <c r="AM52"/>
  <c r="AN64"/>
  <c r="AL64"/>
  <c r="AN56"/>
  <c r="AL56"/>
  <c r="AM48"/>
  <c r="AL14"/>
  <c r="AM50"/>
  <c r="AN50"/>
  <c r="AL62"/>
  <c r="AM70"/>
  <c r="AN70"/>
  <c r="AN16"/>
  <c r="AL16"/>
  <c r="AM32"/>
  <c r="AN60"/>
  <c r="AL60"/>
  <c r="AM68"/>
  <c r="AF44" i="101"/>
  <c r="AE51"/>
  <c r="AE52" s="1"/>
  <c r="AC43" i="104"/>
  <c r="AD43"/>
</calcChain>
</file>

<file path=xl/sharedStrings.xml><?xml version="1.0" encoding="utf-8"?>
<sst xmlns="http://schemas.openxmlformats.org/spreadsheetml/2006/main" count="439" uniqueCount="157">
  <si>
    <t>Адрес  МКД</t>
  </si>
  <si>
    <t>за работы по содержанию и  техническому обслуживанию общего имущества МКД  в том числе:</t>
  </si>
  <si>
    <t>5-ти этажные дома</t>
  </si>
  <si>
    <t>руб/м2</t>
  </si>
  <si>
    <t>Итого по содержанию  и техническому обслуживанию   общего имущества МКД</t>
  </si>
  <si>
    <t xml:space="preserve"> ед.изм.</t>
  </si>
  <si>
    <t>Ленина  1</t>
  </si>
  <si>
    <t>Ленина  1а</t>
  </si>
  <si>
    <t>Ленина  3</t>
  </si>
  <si>
    <t>Ленина  3 а</t>
  </si>
  <si>
    <t>Ленина  3 б</t>
  </si>
  <si>
    <t>Менделеева  16</t>
  </si>
  <si>
    <t>Менделеева  16а</t>
  </si>
  <si>
    <t>Менделеева  18</t>
  </si>
  <si>
    <t>Менделеева  20</t>
  </si>
  <si>
    <t>Менделеева  22</t>
  </si>
  <si>
    <t>Менделеева  24</t>
  </si>
  <si>
    <t>Менделеева  24а</t>
  </si>
  <si>
    <t>Мира   2</t>
  </si>
  <si>
    <t>Мира   2а</t>
  </si>
  <si>
    <t>Мира   4</t>
  </si>
  <si>
    <t>Мира   4а</t>
  </si>
  <si>
    <t>Мира   6</t>
  </si>
  <si>
    <t>Мира   6а</t>
  </si>
  <si>
    <t>Мира   8</t>
  </si>
  <si>
    <t>Мира   8а</t>
  </si>
  <si>
    <t>Мира   10</t>
  </si>
  <si>
    <t>Мира   10а</t>
  </si>
  <si>
    <t>Мира   12</t>
  </si>
  <si>
    <t>Мира   12а</t>
  </si>
  <si>
    <t>Мира   12б</t>
  </si>
  <si>
    <t>Победы  17</t>
  </si>
  <si>
    <t>Победы  17а</t>
  </si>
  <si>
    <t>Победы  19а</t>
  </si>
  <si>
    <t>Победы  21</t>
  </si>
  <si>
    <t>Победы  21а</t>
  </si>
  <si>
    <t>Победы  23</t>
  </si>
  <si>
    <t>Победы  25</t>
  </si>
  <si>
    <t>Победы  21(вставка)</t>
  </si>
  <si>
    <t>итого за 1 м-ц с ндс</t>
  </si>
  <si>
    <t>итого за год с НДС</t>
  </si>
  <si>
    <t>итого за 1 м-ц без НДС</t>
  </si>
  <si>
    <t>итого за год без НДС</t>
  </si>
  <si>
    <t>итого за 1 м-ц без НДС и приб</t>
  </si>
  <si>
    <t>итого за год без НДС и приб</t>
  </si>
  <si>
    <t>Себестоимость всего без ТБО,ИТП и лифтов с  текущ.ремонтом  :</t>
  </si>
  <si>
    <t>в том числе :</t>
  </si>
  <si>
    <t>итого за 1 м-ц без НДС и прибыли</t>
  </si>
  <si>
    <t>итого за год без НДС и прибыли</t>
  </si>
  <si>
    <t>в том числе</t>
  </si>
  <si>
    <t xml:space="preserve">текущий ремонт конструктивных элементов </t>
  </si>
  <si>
    <t>текущий ремонт внутридомовых систем холодного и горячего водоснабжения, отопления и водоотведения в МКД</t>
  </si>
  <si>
    <t>текущий ремонт  систем электроснабжения в МКД</t>
  </si>
  <si>
    <t>текущий ремонт  подъездов в МКД</t>
  </si>
  <si>
    <t>Механизированная уборка территорий от снега</t>
  </si>
  <si>
    <t>Поверка, замена вышедшего из строя оборудования коллективног ОПУ горячего водоснабжения</t>
  </si>
  <si>
    <t>Поверка, замена вышедшего из строя оборудования коллективног ОПУ холодного водоснабжения</t>
  </si>
  <si>
    <t>Техническое диагностирование внутридомовых систем газоснабжения</t>
  </si>
  <si>
    <t>корректировка по текущему ремонту</t>
  </si>
  <si>
    <t xml:space="preserve">Всего за  услуги и работы по содержанию, ремонту и управлению  МКД  </t>
  </si>
  <si>
    <t>Техническое обслуживание автоматического шлагбаума</t>
  </si>
  <si>
    <t>ВСЕГО  по содержанию, техническому обслуживанию и текущему ремонту общего имущества МКД</t>
  </si>
  <si>
    <t xml:space="preserve">Управление  многоквартирным домом   </t>
  </si>
  <si>
    <t>Уборка и санитарно-гигиеническая очистка лестничных клеток</t>
  </si>
  <si>
    <t>Сбор и вывоз твердых коммунальных отходов</t>
  </si>
  <si>
    <t>Содержание и техническое обслуживание конструктивных элементов</t>
  </si>
  <si>
    <t>Содержание и техническое обслуживание внутридомовых систем электроснабжения</t>
  </si>
  <si>
    <t>Содержание и техническое обслуживание внутридомовых систем холодного и горячего водоснабжения, отопления и канализации</t>
  </si>
  <si>
    <t>Уборка и санитарно-гигиеническая очистка мусоропровода</t>
  </si>
  <si>
    <t>Содержание и техническое обслуживание лифтов</t>
  </si>
  <si>
    <t>Содержание и техническое обслуживание внутридомовых систем пожарной автоматики и дымоудаления</t>
  </si>
  <si>
    <t>Содержание и техническое обслуживание внутридомовых систем газоснабжения</t>
  </si>
  <si>
    <t>Дератизация, дезинсекция помещений</t>
  </si>
  <si>
    <t xml:space="preserve">Уборка и санитарно-гигиеническая очистка земельного участка </t>
  </si>
  <si>
    <t>Благоустройство придомовой территории</t>
  </si>
  <si>
    <t>Содержание, техническое обслуживание КОДПУ тепловой энергии на отопление</t>
  </si>
  <si>
    <t>Содержание, техническое обслуживание КОДПУ горячего водоснабжения</t>
  </si>
  <si>
    <t>Содержание, техническое обслуживание КОДПУ холодного водоснабжения</t>
  </si>
  <si>
    <t>Поверка, замена вышедшего из строя оборудования коллективног ОПУ тепловой энергии на отопление</t>
  </si>
  <si>
    <t>Поверка, замена вышедшего из строя оборудования коллективног ОПУ электрической энергии</t>
  </si>
  <si>
    <t>Техническое обслуживание систем аудидомофонной связи</t>
  </si>
  <si>
    <t>Техническое обслуживание автоматических ворот</t>
  </si>
  <si>
    <t>Текущий ремонт МКД</t>
  </si>
  <si>
    <t>Итого по содержаниюМКД</t>
  </si>
  <si>
    <t>с 1 июля 2017 года</t>
  </si>
  <si>
    <t>ЖЭУ №3</t>
  </si>
  <si>
    <t>Размер платы за управление, содержание и текущий ремонт жилых  помещений  МКД за месяц  на 2017 год</t>
  </si>
  <si>
    <t>№ п/п</t>
  </si>
  <si>
    <r>
      <rPr>
        <b/>
        <sz val="10"/>
        <rFont val="Arial"/>
        <family val="2"/>
        <charset val="204"/>
      </rPr>
      <t xml:space="preserve">Примечание: </t>
    </r>
    <r>
      <rPr>
        <sz val="10"/>
        <rFont val="Arial"/>
        <family val="2"/>
        <charset val="204"/>
      </rPr>
      <t>Поверка проводится по отдельному приказу, в период проведения работ.</t>
    </r>
  </si>
  <si>
    <t>Электрическая энергия, потребляемая при содержании общего имущества в МКД</t>
  </si>
  <si>
    <t>Холодная вода, потребляемая при содержании общего имущества в МКД</t>
  </si>
  <si>
    <t>Горячая вода, потребляемая при содержании общего имущества в МКД</t>
  </si>
  <si>
    <t>Водоотведение при содержании общего имущества в МКД</t>
  </si>
  <si>
    <t>Проведение тех.осмотров и мелктй ремонт системы вентеляции</t>
  </si>
  <si>
    <t>Аварийное обслуживание сетей ХГВС, отопления и электроснабжения по заявкам</t>
  </si>
  <si>
    <t>по адресу: пр.Победы 17 начисление платы за текущий ремонт системы электроснабжения общего имущества собственников МКД производилось только в октябре 2017 года.</t>
  </si>
  <si>
    <t xml:space="preserve">Размер платы за управление, содержание и текущий ремонт жилых  помещений  МКД за месяц  </t>
  </si>
  <si>
    <t>Общая площадь жилых и нежилых помещений, м2</t>
  </si>
  <si>
    <t>Приложение № 1/2</t>
  </si>
  <si>
    <t xml:space="preserve">к договору №____   от ________________ </t>
  </si>
  <si>
    <t>Техническая характеристика многоквартирных домов ЖЭУ №3, лот №2</t>
  </si>
  <si>
    <t>№п/п</t>
  </si>
  <si>
    <t xml:space="preserve">           Адрес</t>
  </si>
  <si>
    <t>год ввода</t>
  </si>
  <si>
    <t>материал стен</t>
  </si>
  <si>
    <t>этажность</t>
  </si>
  <si>
    <t>кол-во подъездов</t>
  </si>
  <si>
    <t>кол-во лифтов</t>
  </si>
  <si>
    <t>кол-во м/камер</t>
  </si>
  <si>
    <t>кол-во квартир</t>
  </si>
  <si>
    <t>кол-во проживающих</t>
  </si>
  <si>
    <t>площадь кровли</t>
  </si>
  <si>
    <t>Площадь жилых помещений</t>
  </si>
  <si>
    <t>Площадь нежилых помещений</t>
  </si>
  <si>
    <t>Общая площадь жилых и нежилых помещений</t>
  </si>
  <si>
    <t>Уборочн. площадь МОП (межэтажные лестничн. клетки, лестницы, коридоры)</t>
  </si>
  <si>
    <t>Уборочн. площадь лестничн. клеток всего</t>
  </si>
  <si>
    <t>Площадь МОП (межэтажные лестничн. клетки, лестницы, коридоры)</t>
  </si>
  <si>
    <t>Площадь подвалов</t>
  </si>
  <si>
    <t>Площадь чердаков</t>
  </si>
  <si>
    <t>Площадь козырьков</t>
  </si>
  <si>
    <t>К-во силов установ</t>
  </si>
  <si>
    <t xml:space="preserve">                Уборочная площадь для дворников</t>
  </si>
  <si>
    <t>% износа по году ввода</t>
  </si>
  <si>
    <t>% износа по году ввода в пересчете на площадь</t>
  </si>
  <si>
    <t>кровля из шифера , асбестоцемента, черепицы и прочих материалов</t>
  </si>
  <si>
    <t>кровли из рубероида, толя и других рулонных материалов</t>
  </si>
  <si>
    <t>жилая</t>
  </si>
  <si>
    <t>общая</t>
  </si>
  <si>
    <t>1кл/отм</t>
  </si>
  <si>
    <t>2кл/дор</t>
  </si>
  <si>
    <t>3кл/трот</t>
  </si>
  <si>
    <t>газоны</t>
  </si>
  <si>
    <t>без.покр</t>
  </si>
  <si>
    <t>ЖЭУ-3</t>
  </si>
  <si>
    <t>панель</t>
  </si>
  <si>
    <t>Ленина  3а</t>
  </si>
  <si>
    <t>кирпич</t>
  </si>
  <si>
    <t>блочн.</t>
  </si>
  <si>
    <t>блок</t>
  </si>
  <si>
    <t xml:space="preserve"> </t>
  </si>
  <si>
    <t>Итого по 5- ти этажным</t>
  </si>
  <si>
    <t>16-ти этажные дома</t>
  </si>
  <si>
    <t>Ленина  7, корп. 1</t>
  </si>
  <si>
    <t>Всего по ЖЭУ №3</t>
  </si>
  <si>
    <t>Начальник ПЭО                                                                    С. А. Копытцева</t>
  </si>
  <si>
    <t>Итого по направлениям</t>
  </si>
  <si>
    <t>ПРЭТ 3</t>
  </si>
  <si>
    <t>Подрядчик</t>
  </si>
  <si>
    <t>Коммунальные ресурсы на ОДН</t>
  </si>
  <si>
    <t>ОДН с 1 июля 2017 года</t>
  </si>
  <si>
    <t>норматив ТКО м3/чел в год</t>
  </si>
  <si>
    <t>Стоимость обращения с ТКО в год</t>
  </si>
  <si>
    <t>Начисление за утилизацию ТКО в год</t>
  </si>
  <si>
    <t>Начисление за сбор и вывоз ТКО в год</t>
  </si>
  <si>
    <t>Итого по ЖЭУ №3 в месяц</t>
  </si>
  <si>
    <t>Итого по ЖЭУ №3 в год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</si>
</sst>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Gill Sans MT Condensed"/>
      <family val="2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2" fillId="0" borderId="0"/>
    <xf numFmtId="0" fontId="10" fillId="0" borderId="0"/>
    <xf numFmtId="0" fontId="12" fillId="0" borderId="0"/>
  </cellStyleXfs>
  <cellXfs count="303">
    <xf numFmtId="0" fontId="0" fillId="0" borderId="0" xfId="0"/>
    <xf numFmtId="0" fontId="11" fillId="0" borderId="0" xfId="0" applyFont="1"/>
    <xf numFmtId="0" fontId="11" fillId="0" borderId="0" xfId="0" applyFont="1" applyFill="1"/>
    <xf numFmtId="0" fontId="10" fillId="0" borderId="0" xfId="0" applyFont="1"/>
    <xf numFmtId="3" fontId="11" fillId="0" borderId="0" xfId="0" applyNumberFormat="1" applyFo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/>
    <xf numFmtId="0" fontId="11" fillId="0" borderId="6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3" fontId="11" fillId="0" borderId="0" xfId="0" applyNumberFormat="1" applyFont="1" applyBorder="1"/>
    <xf numFmtId="2" fontId="1" fillId="0" borderId="3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0" fontId="0" fillId="5" borderId="9" xfId="0" applyFill="1" applyBorder="1"/>
    <xf numFmtId="0" fontId="8" fillId="5" borderId="10" xfId="0" applyFont="1" applyFill="1" applyBorder="1"/>
    <xf numFmtId="1" fontId="1" fillId="5" borderId="1" xfId="0" applyNumberFormat="1" applyFont="1" applyFill="1" applyBorder="1" applyAlignment="1">
      <alignment horizontal="left"/>
    </xf>
    <xf numFmtId="0" fontId="11" fillId="5" borderId="10" xfId="0" applyFont="1" applyFill="1" applyBorder="1"/>
    <xf numFmtId="0" fontId="8" fillId="5" borderId="10" xfId="0" applyFont="1" applyFill="1" applyBorder="1" applyAlignment="1">
      <alignment horizontal="center"/>
    </xf>
    <xf numFmtId="1" fontId="1" fillId="5" borderId="1" xfId="0" applyNumberFormat="1" applyFont="1" applyFill="1" applyBorder="1"/>
    <xf numFmtId="0" fontId="11" fillId="5" borderId="0" xfId="0" applyFont="1" applyFill="1"/>
    <xf numFmtId="0" fontId="6" fillId="5" borderId="1" xfId="0" applyFont="1" applyFill="1" applyBorder="1" applyAlignment="1">
      <alignment horizontal="center"/>
    </xf>
    <xf numFmtId="0" fontId="0" fillId="5" borderId="11" xfId="0" applyFill="1" applyBorder="1"/>
    <xf numFmtId="0" fontId="8" fillId="5" borderId="12" xfId="0" applyFont="1" applyFill="1" applyBorder="1"/>
    <xf numFmtId="1" fontId="1" fillId="5" borderId="2" xfId="0" applyNumberFormat="1" applyFont="1" applyFill="1" applyBorder="1" applyAlignment="1"/>
    <xf numFmtId="1" fontId="1" fillId="5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textRotation="90" wrapText="1"/>
    </xf>
    <xf numFmtId="0" fontId="0" fillId="5" borderId="0" xfId="0" applyFill="1" applyBorder="1"/>
    <xf numFmtId="0" fontId="9" fillId="5" borderId="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3" fontId="11" fillId="0" borderId="1" xfId="0" applyNumberFormat="1" applyFont="1" applyBorder="1"/>
    <xf numFmtId="3" fontId="7" fillId="0" borderId="1" xfId="0" applyNumberFormat="1" applyFont="1" applyBorder="1" applyAlignment="1">
      <alignment horizontal="center" vertical="center" wrapText="1"/>
    </xf>
    <xf numFmtId="0" fontId="8" fillId="5" borderId="0" xfId="0" applyFont="1" applyFill="1" applyBorder="1"/>
    <xf numFmtId="1" fontId="1" fillId="5" borderId="0" xfId="0" applyNumberFormat="1" applyFont="1" applyFill="1" applyBorder="1"/>
    <xf numFmtId="1" fontId="1" fillId="5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wrapText="1"/>
    </xf>
    <xf numFmtId="2" fontId="14" fillId="0" borderId="1" xfId="0" applyNumberFormat="1" applyFont="1" applyBorder="1"/>
    <xf numFmtId="0" fontId="14" fillId="0" borderId="1" xfId="0" applyFont="1" applyBorder="1"/>
    <xf numFmtId="0" fontId="14" fillId="5" borderId="1" xfId="0" applyFont="1" applyFill="1" applyBorder="1"/>
    <xf numFmtId="1" fontId="14" fillId="5" borderId="1" xfId="0" applyNumberFormat="1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5" fillId="5" borderId="1" xfId="0" applyNumberFormat="1" applyFont="1" applyFill="1" applyBorder="1"/>
    <xf numFmtId="2" fontId="16" fillId="2" borderId="1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3" fontId="14" fillId="0" borderId="1" xfId="0" applyNumberFormat="1" applyFont="1" applyBorder="1"/>
    <xf numFmtId="1" fontId="14" fillId="0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/>
    </xf>
    <xf numFmtId="0" fontId="18" fillId="5" borderId="0" xfId="0" applyFont="1" applyFill="1"/>
    <xf numFmtId="0" fontId="19" fillId="5" borderId="0" xfId="0" applyFont="1" applyFill="1"/>
    <xf numFmtId="0" fontId="19" fillId="0" borderId="0" xfId="0" applyFont="1" applyFill="1"/>
    <xf numFmtId="0" fontId="19" fillId="0" borderId="0" xfId="0" applyFont="1"/>
    <xf numFmtId="0" fontId="18" fillId="0" borderId="0" xfId="0" applyFont="1"/>
    <xf numFmtId="3" fontId="19" fillId="0" borderId="0" xfId="0" applyNumberFormat="1" applyFont="1"/>
    <xf numFmtId="2" fontId="0" fillId="0" borderId="0" xfId="0" applyNumberFormat="1"/>
    <xf numFmtId="0" fontId="5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2" fontId="5" fillId="5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2" fontId="20" fillId="2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/>
    <xf numFmtId="2" fontId="1" fillId="5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21" fillId="2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0" fontId="22" fillId="5" borderId="0" xfId="0" applyFont="1" applyFill="1"/>
    <xf numFmtId="0" fontId="22" fillId="0" borderId="0" xfId="0" applyFont="1"/>
    <xf numFmtId="0" fontId="5" fillId="5" borderId="0" xfId="0" applyFont="1" applyFill="1"/>
    <xf numFmtId="0" fontId="5" fillId="0" borderId="0" xfId="0" applyFont="1"/>
    <xf numFmtId="0" fontId="5" fillId="0" borderId="1" xfId="0" applyFont="1" applyBorder="1"/>
    <xf numFmtId="1" fontId="5" fillId="5" borderId="1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5" borderId="1" xfId="0" applyFont="1" applyFill="1" applyBorder="1"/>
    <xf numFmtId="0" fontId="5" fillId="0" borderId="0" xfId="0" applyFont="1" applyFill="1"/>
    <xf numFmtId="0" fontId="23" fillId="0" borderId="15" xfId="3" applyFont="1" applyBorder="1" applyAlignment="1">
      <alignment horizontal="center" vertical="center" textRotation="90" wrapText="1"/>
    </xf>
    <xf numFmtId="4" fontId="23" fillId="0" borderId="15" xfId="3" applyNumberFormat="1" applyFont="1" applyBorder="1" applyAlignment="1">
      <alignment horizontal="center" vertical="center" textRotation="90" wrapText="1"/>
    </xf>
    <xf numFmtId="0" fontId="23" fillId="0" borderId="15" xfId="3" applyFont="1" applyFill="1" applyBorder="1" applyAlignment="1">
      <alignment horizontal="center" vertical="center" textRotation="90" wrapText="1"/>
    </xf>
    <xf numFmtId="0" fontId="23" fillId="0" borderId="30" xfId="3" applyFont="1" applyBorder="1" applyAlignment="1">
      <alignment horizontal="center" vertical="center" wrapText="1"/>
    </xf>
    <xf numFmtId="0" fontId="23" fillId="0" borderId="31" xfId="3" applyFont="1" applyBorder="1" applyAlignment="1">
      <alignment horizontal="center" vertical="center" wrapText="1"/>
    </xf>
    <xf numFmtId="0" fontId="23" fillId="0" borderId="32" xfId="3" applyFont="1" applyBorder="1" applyAlignment="1">
      <alignment horizontal="center" vertical="center" wrapText="1"/>
    </xf>
    <xf numFmtId="0" fontId="5" fillId="0" borderId="33" xfId="3" quotePrefix="1" applyFont="1" applyBorder="1" applyAlignment="1">
      <alignment horizontal="center"/>
    </xf>
    <xf numFmtId="0" fontId="5" fillId="0" borderId="34" xfId="3" applyFont="1" applyBorder="1" applyAlignment="1">
      <alignment horizontal="center"/>
    </xf>
    <xf numFmtId="0" fontId="5" fillId="0" borderId="34" xfId="3" quotePrefix="1" applyFont="1" applyBorder="1" applyAlignment="1">
      <alignment horizontal="center"/>
    </xf>
    <xf numFmtId="4" fontId="5" fillId="0" borderId="34" xfId="3" quotePrefix="1" applyNumberFormat="1" applyFont="1" applyBorder="1" applyAlignment="1">
      <alignment horizontal="center"/>
    </xf>
    <xf numFmtId="0" fontId="5" fillId="0" borderId="34" xfId="3" quotePrefix="1" applyFont="1" applyFill="1" applyBorder="1" applyAlignment="1">
      <alignment horizontal="center"/>
    </xf>
    <xf numFmtId="0" fontId="5" fillId="6" borderId="34" xfId="3" quotePrefix="1" applyFont="1" applyFill="1" applyBorder="1" applyAlignment="1">
      <alignment horizontal="center"/>
    </xf>
    <xf numFmtId="0" fontId="5" fillId="7" borderId="34" xfId="3" quotePrefix="1" applyFont="1" applyFill="1" applyBorder="1" applyAlignment="1">
      <alignment horizontal="center"/>
    </xf>
    <xf numFmtId="0" fontId="5" fillId="0" borderId="35" xfId="3" applyFont="1" applyBorder="1" applyAlignment="1">
      <alignment horizontal="center"/>
    </xf>
    <xf numFmtId="0" fontId="5" fillId="0" borderId="36" xfId="3" applyFont="1" applyBorder="1" applyAlignment="1">
      <alignment horizontal="center"/>
    </xf>
    <xf numFmtId="0" fontId="5" fillId="0" borderId="37" xfId="3" applyFont="1" applyBorder="1" applyAlignment="1">
      <alignment horizontal="center"/>
    </xf>
    <xf numFmtId="0" fontId="5" fillId="0" borderId="20" xfId="3" applyFont="1" applyBorder="1" applyAlignment="1">
      <alignment horizontal="center"/>
    </xf>
    <xf numFmtId="0" fontId="5" fillId="0" borderId="23" xfId="3" applyFont="1" applyBorder="1" applyAlignment="1">
      <alignment horizontal="center"/>
    </xf>
    <xf numFmtId="0" fontId="5" fillId="0" borderId="38" xfId="3" applyFont="1" applyBorder="1" applyAlignment="1">
      <alignment horizontal="center"/>
    </xf>
    <xf numFmtId="0" fontId="5" fillId="0" borderId="12" xfId="3" quotePrefix="1" applyFont="1" applyFill="1" applyBorder="1" applyAlignment="1">
      <alignment horizontal="left"/>
    </xf>
    <xf numFmtId="0" fontId="23" fillId="0" borderId="2" xfId="3" applyFont="1" applyFill="1" applyBorder="1" applyAlignment="1">
      <alignment horizontal="left"/>
    </xf>
    <xf numFmtId="0" fontId="5" fillId="0" borderId="2" xfId="3" quotePrefix="1" applyFont="1" applyFill="1" applyBorder="1" applyAlignment="1">
      <alignment horizontal="left"/>
    </xf>
    <xf numFmtId="4" fontId="5" fillId="0" borderId="2" xfId="3" quotePrefix="1" applyNumberFormat="1" applyFont="1" applyFill="1" applyBorder="1" applyAlignment="1">
      <alignment horizontal="left"/>
    </xf>
    <xf numFmtId="0" fontId="5" fillId="7" borderId="2" xfId="3" quotePrefix="1" applyFont="1" applyFill="1" applyBorder="1" applyAlignment="1">
      <alignment horizontal="left"/>
    </xf>
    <xf numFmtId="0" fontId="5" fillId="0" borderId="2" xfId="3" applyFont="1" applyBorder="1"/>
    <xf numFmtId="0" fontId="5" fillId="0" borderId="5" xfId="3" applyFont="1" applyBorder="1"/>
    <xf numFmtId="0" fontId="5" fillId="0" borderId="39" xfId="3" applyFont="1" applyBorder="1"/>
    <xf numFmtId="0" fontId="5" fillId="0" borderId="13" xfId="3" applyFont="1" applyBorder="1"/>
    <xf numFmtId="0" fontId="5" fillId="0" borderId="14" xfId="3" applyFont="1" applyBorder="1"/>
    <xf numFmtId="0" fontId="5" fillId="0" borderId="10" xfId="3" quotePrefix="1" applyFont="1" applyFill="1" applyBorder="1" applyAlignment="1">
      <alignment horizontal="left"/>
    </xf>
    <xf numFmtId="0" fontId="20" fillId="0" borderId="1" xfId="3" applyFont="1" applyFill="1" applyBorder="1" applyAlignment="1">
      <alignment horizontal="left"/>
    </xf>
    <xf numFmtId="0" fontId="5" fillId="0" borderId="1" xfId="3" quotePrefix="1" applyFont="1" applyFill="1" applyBorder="1" applyAlignment="1">
      <alignment horizontal="left"/>
    </xf>
    <xf numFmtId="4" fontId="5" fillId="0" borderId="1" xfId="3" quotePrefix="1" applyNumberFormat="1" applyFont="1" applyFill="1" applyBorder="1" applyAlignment="1">
      <alignment horizontal="left"/>
    </xf>
    <xf numFmtId="0" fontId="5" fillId="7" borderId="1" xfId="3" quotePrefix="1" applyFont="1" applyFill="1" applyBorder="1" applyAlignment="1">
      <alignment horizontal="left"/>
    </xf>
    <xf numFmtId="0" fontId="5" fillId="0" borderId="1" xfId="3" quotePrefix="1" applyFont="1" applyBorder="1" applyAlignment="1">
      <alignment horizontal="left"/>
    </xf>
    <xf numFmtId="0" fontId="5" fillId="0" borderId="8" xfId="3" quotePrefix="1" applyFont="1" applyBorder="1" applyAlignment="1">
      <alignment horizontal="left"/>
    </xf>
    <xf numFmtId="0" fontId="5" fillId="0" borderId="40" xfId="3" quotePrefix="1" applyFont="1" applyBorder="1" applyAlignment="1">
      <alignment horizontal="left"/>
    </xf>
    <xf numFmtId="0" fontId="5" fillId="0" borderId="6" xfId="3" quotePrefix="1" applyFont="1" applyBorder="1" applyAlignment="1">
      <alignment horizontal="left"/>
    </xf>
    <xf numFmtId="0" fontId="5" fillId="0" borderId="7" xfId="3" quotePrefix="1" applyFont="1" applyBorder="1" applyAlignment="1">
      <alignment horizontal="left"/>
    </xf>
    <xf numFmtId="0" fontId="5" fillId="0" borderId="10" xfId="3" applyFont="1" applyFill="1" applyBorder="1"/>
    <xf numFmtId="0" fontId="5" fillId="0" borderId="1" xfId="3" applyFont="1" applyFill="1" applyBorder="1"/>
    <xf numFmtId="2" fontId="5" fillId="0" borderId="1" xfId="3" applyNumberFormat="1" applyFont="1" applyFill="1" applyBorder="1"/>
    <xf numFmtId="4" fontId="5" fillId="0" borderId="1" xfId="3" applyNumberFormat="1" applyFont="1" applyFill="1" applyBorder="1"/>
    <xf numFmtId="2" fontId="5" fillId="7" borderId="1" xfId="3" applyNumberFormat="1" applyFont="1" applyFill="1" applyBorder="1"/>
    <xf numFmtId="2" fontId="5" fillId="6" borderId="1" xfId="3" applyNumberFormat="1" applyFont="1" applyFill="1" applyBorder="1"/>
    <xf numFmtId="2" fontId="5" fillId="6" borderId="8" xfId="3" applyNumberFormat="1" applyFont="1" applyFill="1" applyBorder="1"/>
    <xf numFmtId="0" fontId="5" fillId="0" borderId="40" xfId="3" applyFont="1" applyFill="1" applyBorder="1"/>
    <xf numFmtId="0" fontId="5" fillId="6" borderId="6" xfId="3" applyFont="1" applyFill="1" applyBorder="1"/>
    <xf numFmtId="0" fontId="5" fillId="6" borderId="1" xfId="3" applyFont="1" applyFill="1" applyBorder="1"/>
    <xf numFmtId="0" fontId="5" fillId="6" borderId="7" xfId="3" applyFont="1" applyFill="1" applyBorder="1"/>
    <xf numFmtId="0" fontId="25" fillId="0" borderId="1" xfId="3" applyFont="1" applyFill="1" applyBorder="1"/>
    <xf numFmtId="2" fontId="25" fillId="7" borderId="1" xfId="3" applyNumberFormat="1" applyFont="1" applyFill="1" applyBorder="1"/>
    <xf numFmtId="2" fontId="25" fillId="0" borderId="1" xfId="3" applyNumberFormat="1" applyFont="1" applyFill="1" applyBorder="1"/>
    <xf numFmtId="0" fontId="25" fillId="0" borderId="40" xfId="3" applyFont="1" applyFill="1" applyBorder="1"/>
    <xf numFmtId="0" fontId="25" fillId="6" borderId="6" xfId="3" applyFont="1" applyFill="1" applyBorder="1"/>
    <xf numFmtId="0" fontId="25" fillId="6" borderId="1" xfId="3" applyFont="1" applyFill="1" applyBorder="1"/>
    <xf numFmtId="0" fontId="25" fillId="6" borderId="7" xfId="3" applyFont="1" applyFill="1" applyBorder="1"/>
    <xf numFmtId="2" fontId="5" fillId="0" borderId="1" xfId="3" applyNumberFormat="1" applyFont="1" applyBorder="1"/>
    <xf numFmtId="2" fontId="5" fillId="0" borderId="8" xfId="3" applyNumberFormat="1" applyFont="1" applyBorder="1"/>
    <xf numFmtId="0" fontId="5" fillId="0" borderId="6" xfId="3" applyFont="1" applyBorder="1"/>
    <xf numFmtId="0" fontId="5" fillId="0" borderId="1" xfId="3" applyFont="1" applyBorder="1"/>
    <xf numFmtId="0" fontId="5" fillId="0" borderId="7" xfId="3" applyFont="1" applyBorder="1"/>
    <xf numFmtId="0" fontId="5" fillId="0" borderId="33" xfId="3" applyFont="1" applyFill="1" applyBorder="1"/>
    <xf numFmtId="0" fontId="23" fillId="0" borderId="34" xfId="3" applyFont="1" applyFill="1" applyBorder="1"/>
    <xf numFmtId="0" fontId="5" fillId="0" borderId="34" xfId="3" applyFont="1" applyFill="1" applyBorder="1"/>
    <xf numFmtId="2" fontId="23" fillId="0" borderId="34" xfId="3" applyNumberFormat="1" applyFont="1" applyBorder="1"/>
    <xf numFmtId="0" fontId="23" fillId="0" borderId="36" xfId="3" applyFont="1" applyFill="1" applyBorder="1"/>
    <xf numFmtId="2" fontId="23" fillId="0" borderId="41" xfId="3" applyNumberFormat="1" applyFont="1" applyBorder="1"/>
    <xf numFmtId="2" fontId="23" fillId="0" borderId="42" xfId="3" applyNumberFormat="1" applyFont="1" applyBorder="1"/>
    <xf numFmtId="0" fontId="5" fillId="0" borderId="43" xfId="3" applyFont="1" applyFill="1" applyBorder="1"/>
    <xf numFmtId="0" fontId="20" fillId="0" borderId="17" xfId="3" applyFont="1" applyFill="1" applyBorder="1"/>
    <xf numFmtId="0" fontId="5" fillId="0" borderId="17" xfId="3" applyFont="1" applyFill="1" applyBorder="1"/>
    <xf numFmtId="4" fontId="5" fillId="0" borderId="17" xfId="3" applyNumberFormat="1" applyFont="1" applyFill="1" applyBorder="1"/>
    <xf numFmtId="0" fontId="5" fillId="7" borderId="17" xfId="3" applyFont="1" applyFill="1" applyBorder="1"/>
    <xf numFmtId="2" fontId="5" fillId="0" borderId="17" xfId="3" applyNumberFormat="1" applyFont="1" applyBorder="1"/>
    <xf numFmtId="2" fontId="5" fillId="0" borderId="17" xfId="3" applyNumberFormat="1" applyFont="1" applyFill="1" applyBorder="1"/>
    <xf numFmtId="2" fontId="5" fillId="0" borderId="44" xfId="3" applyNumberFormat="1" applyFont="1" applyBorder="1"/>
    <xf numFmtId="0" fontId="5" fillId="0" borderId="45" xfId="3" applyFont="1" applyFill="1" applyBorder="1"/>
    <xf numFmtId="2" fontId="5" fillId="0" borderId="46" xfId="3" applyNumberFormat="1" applyFont="1" applyBorder="1"/>
    <xf numFmtId="2" fontId="5" fillId="0" borderId="47" xfId="3" applyNumberFormat="1" applyFont="1" applyBorder="1"/>
    <xf numFmtId="4" fontId="5" fillId="0" borderId="34" xfId="3" applyNumberFormat="1" applyFont="1" applyFill="1" applyBorder="1"/>
    <xf numFmtId="2" fontId="5" fillId="0" borderId="34" xfId="3" applyNumberFormat="1" applyFont="1" applyFill="1" applyBorder="1"/>
    <xf numFmtId="2" fontId="5" fillId="7" borderId="34" xfId="3" applyNumberFormat="1" applyFont="1" applyFill="1" applyBorder="1"/>
    <xf numFmtId="2" fontId="5" fillId="6" borderId="34" xfId="3" applyNumberFormat="1" applyFont="1" applyFill="1" applyBorder="1"/>
    <xf numFmtId="2" fontId="5" fillId="6" borderId="35" xfId="3" applyNumberFormat="1" applyFont="1" applyFill="1" applyBorder="1"/>
    <xf numFmtId="0" fontId="5" fillId="0" borderId="36" xfId="3" applyFont="1" applyFill="1" applyBorder="1"/>
    <xf numFmtId="2" fontId="5" fillId="6" borderId="41" xfId="3" applyNumberFormat="1" applyFont="1" applyFill="1" applyBorder="1"/>
    <xf numFmtId="2" fontId="5" fillId="6" borderId="42" xfId="3" applyNumberFormat="1" applyFont="1" applyFill="1" applyBorder="1"/>
    <xf numFmtId="0" fontId="23" fillId="0" borderId="29" xfId="3" applyFont="1" applyFill="1" applyBorder="1"/>
    <xf numFmtId="2" fontId="23" fillId="6" borderId="41" xfId="3" applyNumberFormat="1" applyFont="1" applyFill="1" applyBorder="1"/>
    <xf numFmtId="2" fontId="23" fillId="6" borderId="34" xfId="3" applyNumberFormat="1" applyFont="1" applyFill="1" applyBorder="1"/>
    <xf numFmtId="2" fontId="23" fillId="6" borderId="42" xfId="3" applyNumberFormat="1" applyFont="1" applyFill="1" applyBorder="1"/>
    <xf numFmtId="2" fontId="23" fillId="0" borderId="0" xfId="3" applyNumberFormat="1" applyFont="1" applyFill="1" applyBorder="1"/>
    <xf numFmtId="0" fontId="5" fillId="0" borderId="0" xfId="3" applyFont="1"/>
    <xf numFmtId="4" fontId="5" fillId="0" borderId="0" xfId="3" applyNumberFormat="1" applyFont="1"/>
    <xf numFmtId="0" fontId="23" fillId="0" borderId="0" xfId="3" applyFont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5" fillId="6" borderId="0" xfId="3" applyFont="1" applyFill="1"/>
    <xf numFmtId="0" fontId="26" fillId="6" borderId="1" xfId="3" applyFont="1" applyFill="1" applyBorder="1"/>
    <xf numFmtId="0" fontId="25" fillId="6" borderId="0" xfId="3" applyFont="1" applyFill="1"/>
    <xf numFmtId="0" fontId="5" fillId="0" borderId="0" xfId="3" applyFont="1" applyFill="1"/>
    <xf numFmtId="0" fontId="5" fillId="3" borderId="0" xfId="3" applyFont="1" applyFill="1"/>
    <xf numFmtId="0" fontId="5" fillId="0" borderId="0" xfId="3" applyFont="1" applyFill="1" applyBorder="1"/>
    <xf numFmtId="0" fontId="23" fillId="0" borderId="0" xfId="3" applyFont="1" applyFill="1" applyBorder="1"/>
    <xf numFmtId="164" fontId="23" fillId="0" borderId="0" xfId="3" applyNumberFormat="1" applyFont="1" applyFill="1" applyBorder="1"/>
    <xf numFmtId="4" fontId="23" fillId="0" borderId="0" xfId="3" applyNumberFormat="1" applyFont="1" applyFill="1" applyBorder="1"/>
    <xf numFmtId="164" fontId="23" fillId="0" borderId="0" xfId="3" applyNumberFormat="1" applyFont="1" applyBorder="1"/>
    <xf numFmtId="164" fontId="5" fillId="0" borderId="0" xfId="3" applyNumberFormat="1" applyFont="1" applyBorder="1"/>
    <xf numFmtId="0" fontId="23" fillId="6" borderId="0" xfId="3" applyFont="1" applyFill="1" applyBorder="1"/>
    <xf numFmtId="164" fontId="23" fillId="6" borderId="0" xfId="3" applyNumberFormat="1" applyFont="1" applyFill="1" applyBorder="1"/>
    <xf numFmtId="164" fontId="5" fillId="0" borderId="0" xfId="3" applyNumberFormat="1" applyFont="1"/>
    <xf numFmtId="0" fontId="23" fillId="0" borderId="0" xfId="3" applyFont="1" applyFill="1"/>
    <xf numFmtId="4" fontId="5" fillId="0" borderId="0" xfId="3" applyNumberFormat="1" applyFont="1" applyFill="1"/>
    <xf numFmtId="0" fontId="5" fillId="0" borderId="0" xfId="3" applyFont="1" applyBorder="1"/>
    <xf numFmtId="3" fontId="5" fillId="5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/>
    <xf numFmtId="3" fontId="5" fillId="5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3" fontId="5" fillId="0" borderId="1" xfId="0" applyNumberFormat="1" applyFont="1" applyBorder="1"/>
    <xf numFmtId="3" fontId="5" fillId="0" borderId="0" xfId="0" applyNumberFormat="1" applyFont="1"/>
    <xf numFmtId="0" fontId="5" fillId="8" borderId="0" xfId="0" applyFont="1" applyFill="1"/>
    <xf numFmtId="0" fontId="5" fillId="8" borderId="1" xfId="0" applyFont="1" applyFill="1" applyBorder="1"/>
    <xf numFmtId="2" fontId="5" fillId="8" borderId="1" xfId="0" applyNumberFormat="1" applyFont="1" applyFill="1" applyBorder="1" applyAlignment="1">
      <alignment horizontal="center"/>
    </xf>
    <xf numFmtId="3" fontId="5" fillId="8" borderId="1" xfId="0" applyNumberFormat="1" applyFont="1" applyFill="1" applyBorder="1" applyAlignment="1">
      <alignment horizontal="center"/>
    </xf>
    <xf numFmtId="3" fontId="5" fillId="6" borderId="0" xfId="3" applyNumberFormat="1" applyFont="1" applyFill="1"/>
    <xf numFmtId="3" fontId="5" fillId="0" borderId="0" xfId="3" applyNumberFormat="1" applyFont="1"/>
    <xf numFmtId="0" fontId="23" fillId="10" borderId="1" xfId="0" applyFont="1" applyFill="1" applyBorder="1"/>
    <xf numFmtId="0" fontId="23" fillId="10" borderId="0" xfId="0" applyFont="1" applyFill="1"/>
    <xf numFmtId="3" fontId="8" fillId="10" borderId="1" xfId="0" applyNumberFormat="1" applyFont="1" applyFill="1" applyBorder="1"/>
    <xf numFmtId="0" fontId="8" fillId="9" borderId="1" xfId="0" applyFont="1" applyFill="1" applyBorder="1"/>
    <xf numFmtId="3" fontId="8" fillId="9" borderId="1" xfId="0" applyNumberFormat="1" applyFont="1" applyFill="1" applyBorder="1"/>
    <xf numFmtId="0" fontId="8" fillId="9" borderId="0" xfId="0" applyFont="1" applyFill="1"/>
    <xf numFmtId="1" fontId="5" fillId="11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/>
    <xf numFmtId="2" fontId="5" fillId="11" borderId="1" xfId="0" applyNumberFormat="1" applyFont="1" applyFill="1" applyBorder="1"/>
    <xf numFmtId="2" fontId="5" fillId="11" borderId="1" xfId="0" applyNumberFormat="1" applyFont="1" applyFill="1" applyBorder="1" applyAlignment="1">
      <alignment horizontal="center" vertical="center"/>
    </xf>
    <xf numFmtId="2" fontId="5" fillId="11" borderId="1" xfId="0" applyNumberFormat="1" applyFont="1" applyFill="1" applyBorder="1" applyAlignment="1">
      <alignment horizontal="center"/>
    </xf>
    <xf numFmtId="2" fontId="20" fillId="11" borderId="1" xfId="0" applyNumberFormat="1" applyFont="1" applyFill="1" applyBorder="1" applyAlignment="1">
      <alignment horizontal="center"/>
    </xf>
    <xf numFmtId="0" fontId="5" fillId="11" borderId="0" xfId="0" applyFont="1" applyFill="1"/>
    <xf numFmtId="0" fontId="5" fillId="5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1" wrapText="1"/>
    </xf>
    <xf numFmtId="0" fontId="8" fillId="0" borderId="1" xfId="0" applyFont="1" applyBorder="1" applyAlignment="1">
      <alignment horizontal="center" vertical="center" textRotation="90" wrapText="1"/>
    </xf>
    <xf numFmtId="0" fontId="5" fillId="5" borderId="15" xfId="0" applyFont="1" applyFill="1" applyBorder="1" applyAlignment="1">
      <alignment horizontal="center" vertical="center" textRotation="90" wrapText="1"/>
    </xf>
    <xf numFmtId="0" fontId="5" fillId="5" borderId="2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5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1" wrapText="1"/>
    </xf>
    <xf numFmtId="0" fontId="23" fillId="8" borderId="1" xfId="0" applyFont="1" applyFill="1" applyBorder="1" applyAlignment="1">
      <alignment horizontal="center" vertical="center" textRotation="90" wrapText="1"/>
    </xf>
    <xf numFmtId="0" fontId="23" fillId="1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28" fillId="0" borderId="15" xfId="0" applyFont="1" applyBorder="1" applyAlignment="1">
      <alignment horizontal="center" textRotation="90" wrapText="1"/>
    </xf>
    <xf numFmtId="0" fontId="28" fillId="0" borderId="2" xfId="0" applyFont="1" applyBorder="1" applyAlignment="1">
      <alignment horizontal="center" textRotation="90" wrapText="1"/>
    </xf>
    <xf numFmtId="0" fontId="24" fillId="5" borderId="1" xfId="0" applyFont="1" applyFill="1" applyBorder="1" applyAlignment="1">
      <alignment horizontal="center"/>
    </xf>
    <xf numFmtId="0" fontId="23" fillId="0" borderId="0" xfId="3" applyFont="1" applyAlignment="1">
      <alignment horizontal="center"/>
    </xf>
    <xf numFmtId="0" fontId="23" fillId="0" borderId="18" xfId="3" applyFont="1" applyBorder="1" applyAlignment="1">
      <alignment horizontal="center" vertical="center" textRotation="90" wrapText="1"/>
    </xf>
    <xf numFmtId="0" fontId="23" fillId="0" borderId="26" xfId="3" applyFont="1" applyBorder="1" applyAlignment="1">
      <alignment horizontal="center" vertical="center" textRotation="90" wrapText="1"/>
    </xf>
    <xf numFmtId="0" fontId="23" fillId="0" borderId="19" xfId="3" quotePrefix="1" applyFont="1" applyBorder="1" applyAlignment="1">
      <alignment horizontal="center" vertical="center" textRotation="90" wrapText="1"/>
    </xf>
    <xf numFmtId="0" fontId="23" fillId="0" borderId="15" xfId="3" quotePrefix="1" applyFont="1" applyBorder="1" applyAlignment="1">
      <alignment horizontal="center" vertical="center" textRotation="90" wrapText="1"/>
    </xf>
    <xf numFmtId="0" fontId="23" fillId="0" borderId="19" xfId="3" applyFont="1" applyBorder="1" applyAlignment="1">
      <alignment horizontal="center" vertical="center" textRotation="90" wrapText="1"/>
    </xf>
    <xf numFmtId="0" fontId="23" fillId="0" borderId="15" xfId="3" applyFont="1" applyBorder="1" applyAlignment="1">
      <alignment horizontal="center" vertical="center" textRotation="90" wrapText="1"/>
    </xf>
    <xf numFmtId="0" fontId="23" fillId="0" borderId="20" xfId="3" applyFont="1" applyBorder="1" applyAlignment="1">
      <alignment horizontal="center" vertical="center" textRotation="90" wrapText="1"/>
    </xf>
    <xf numFmtId="0" fontId="23" fillId="0" borderId="27" xfId="3" applyFont="1" applyBorder="1" applyAlignment="1">
      <alignment horizontal="center" vertical="center" textRotation="90" wrapText="1"/>
    </xf>
    <xf numFmtId="0" fontId="23" fillId="0" borderId="24" xfId="3" applyFont="1" applyBorder="1" applyAlignment="1">
      <alignment horizontal="center" vertical="center" textRotation="90" wrapText="1"/>
    </xf>
    <xf numFmtId="0" fontId="23" fillId="0" borderId="29" xfId="3" applyFont="1" applyBorder="1" applyAlignment="1">
      <alignment horizontal="center" vertical="center" textRotation="90" wrapText="1"/>
    </xf>
    <xf numFmtId="0" fontId="23" fillId="0" borderId="21" xfId="3" applyFont="1" applyBorder="1" applyAlignment="1">
      <alignment horizontal="center" vertical="center" wrapText="1"/>
    </xf>
    <xf numFmtId="0" fontId="23" fillId="0" borderId="22" xfId="3" applyFont="1" applyBorder="1" applyAlignment="1">
      <alignment horizontal="center" vertical="center" wrapText="1"/>
    </xf>
    <xf numFmtId="0" fontId="23" fillId="6" borderId="20" xfId="3" applyFont="1" applyFill="1" applyBorder="1" applyAlignment="1">
      <alignment horizontal="center" vertical="center" textRotation="90" wrapText="1"/>
    </xf>
    <xf numFmtId="0" fontId="23" fillId="6" borderId="27" xfId="3" applyFont="1" applyFill="1" applyBorder="1" applyAlignment="1">
      <alignment horizontal="center" vertical="center" textRotation="90" wrapText="1"/>
    </xf>
    <xf numFmtId="0" fontId="23" fillId="7" borderId="20" xfId="3" applyFont="1" applyFill="1" applyBorder="1" applyAlignment="1">
      <alignment horizontal="center" vertical="center" textRotation="90" wrapText="1"/>
    </xf>
    <xf numFmtId="0" fontId="23" fillId="7" borderId="27" xfId="3" applyFont="1" applyFill="1" applyBorder="1" applyAlignment="1">
      <alignment horizontal="center" vertical="center" textRotation="90" wrapText="1"/>
    </xf>
    <xf numFmtId="0" fontId="23" fillId="0" borderId="23" xfId="3" applyFont="1" applyBorder="1" applyAlignment="1">
      <alignment horizontal="center" vertical="center" textRotation="90" wrapText="1"/>
    </xf>
    <xf numFmtId="0" fontId="23" fillId="0" borderId="28" xfId="3" applyFont="1" applyBorder="1" applyAlignment="1">
      <alignment horizontal="center" vertical="center" textRotation="90" wrapText="1"/>
    </xf>
    <xf numFmtId="0" fontId="23" fillId="0" borderId="0" xfId="3" applyFont="1" applyAlignment="1">
      <alignment horizontal="center" vertical="center" wrapText="1"/>
    </xf>
    <xf numFmtId="0" fontId="23" fillId="0" borderId="3" xfId="3" quotePrefix="1" applyFont="1" applyBorder="1" applyAlignment="1">
      <alignment horizontal="center" vertical="center" wrapText="1"/>
    </xf>
    <xf numFmtId="0" fontId="23" fillId="0" borderId="25" xfId="3" quotePrefix="1" applyFont="1" applyBorder="1" applyAlignment="1">
      <alignment horizontal="center" vertical="center" wrapText="1"/>
    </xf>
    <xf numFmtId="0" fontId="23" fillId="0" borderId="1" xfId="3" applyFont="1" applyBorder="1" applyAlignment="1">
      <alignment horizontal="center" vertical="center" wrapText="1"/>
    </xf>
    <xf numFmtId="0" fontId="23" fillId="0" borderId="1" xfId="3" quotePrefix="1" applyFont="1" applyBorder="1" applyAlignment="1">
      <alignment horizontal="center" vertical="center" wrapText="1"/>
    </xf>
    <xf numFmtId="0" fontId="23" fillId="0" borderId="47" xfId="3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_Копия Объем показ на 01.04. 15 по год.отч ПТО на 01.04.15г для конкурса без пристроев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esktop/&#1059;&#1050;%201/&#1055;&#1088;&#1080;&#1083;&#1086;&#1078;&#1077;&#1085;&#1080;&#1077;%20&#8470;1%20&#1090;&#1077;&#1093;&#1085;&#1080;&#1095;&#1077;&#1089;&#1082;&#1072;&#1103;%20&#1093;&#1072;&#1088;&#1072;&#1082;&#1090;&#1077;&#1088;&#1080;&#1089;&#1090;&#1080;&#1082;&#1072;%20&#1051;&#1086;&#1090;%20&#8470;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эу-3"/>
      <sheetName val="жэу-4"/>
      <sheetName val="жэу-17 капит"/>
      <sheetName val="ЖЭУ-18 капит"/>
      <sheetName val="свод капит."/>
    </sheetNames>
    <sheetDataSet>
      <sheetData sheetId="0">
        <row r="10">
          <cell r="P10">
            <v>5584.4000000000005</v>
          </cell>
        </row>
        <row r="11">
          <cell r="P11">
            <v>3362.2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U78"/>
  <sheetViews>
    <sheetView zoomScale="75" zoomScaleNormal="75" workbookViewId="0">
      <selection activeCell="G17" sqref="G17"/>
    </sheetView>
  </sheetViews>
  <sheetFormatPr defaultRowHeight="12.75"/>
  <cols>
    <col min="1" max="1" width="4.42578125" style="7" customWidth="1"/>
    <col min="2" max="2" width="26.28515625" style="7" customWidth="1"/>
    <col min="3" max="3" width="6.42578125" style="7" customWidth="1"/>
    <col min="4" max="4" width="9.28515625" style="7" customWidth="1"/>
    <col min="5" max="5" width="7.85546875" customWidth="1"/>
    <col min="6" max="6" width="7.7109375" style="7" customWidth="1"/>
    <col min="7" max="7" width="7.85546875" style="7" customWidth="1"/>
    <col min="8" max="8" width="8" style="7" customWidth="1"/>
    <col min="9" max="9" width="7.85546875" style="7" customWidth="1"/>
    <col min="10" max="11" width="6.140625" style="7" hidden="1" customWidth="1"/>
    <col min="12" max="12" width="5.7109375" style="7" hidden="1" customWidth="1"/>
    <col min="13" max="13" width="6.140625" style="7" hidden="1" customWidth="1"/>
    <col min="14" max="14" width="7.28515625" style="7" customWidth="1"/>
    <col min="15" max="15" width="8.28515625" style="7" customWidth="1"/>
    <col min="16" max="16" width="7.140625" style="7" customWidth="1"/>
    <col min="17" max="19" width="7.5703125" style="7" customWidth="1"/>
    <col min="20" max="20" width="7" style="7" customWidth="1"/>
    <col min="21" max="21" width="6.140625" style="7" customWidth="1"/>
    <col min="22" max="22" width="7.7109375" style="7" customWidth="1"/>
    <col min="23" max="23" width="6.140625" style="7" customWidth="1"/>
    <col min="24" max="24" width="6.5703125" style="7" customWidth="1"/>
    <col min="25" max="25" width="6.85546875" style="7" customWidth="1"/>
    <col min="26" max="26" width="6" style="7" customWidth="1"/>
    <col min="27" max="27" width="7.85546875" style="7" customWidth="1"/>
    <col min="28" max="29" width="7.85546875" hidden="1" customWidth="1"/>
    <col min="30" max="30" width="8.28515625" hidden="1" customWidth="1"/>
    <col min="31" max="31" width="8.85546875" hidden="1" customWidth="1"/>
    <col min="32" max="32" width="9.140625" customWidth="1"/>
    <col min="33" max="33" width="8.7109375" customWidth="1"/>
    <col min="34" max="34" width="9.5703125" hidden="1" customWidth="1"/>
    <col min="35" max="36" width="9.140625" hidden="1" customWidth="1"/>
    <col min="37" max="37" width="12.140625" hidden="1" customWidth="1"/>
    <col min="38" max="40" width="9.140625" hidden="1" customWidth="1"/>
    <col min="41" max="41" width="0" style="4" hidden="1" customWidth="1"/>
  </cols>
  <sheetData>
    <row r="1" spans="1:47" ht="15.75" customHeight="1">
      <c r="B1" s="250" t="s">
        <v>86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</row>
    <row r="2" spans="1:47" ht="33" customHeight="1">
      <c r="A2" s="257" t="s">
        <v>87</v>
      </c>
      <c r="B2" s="258" t="s">
        <v>0</v>
      </c>
      <c r="C2" s="259" t="s">
        <v>5</v>
      </c>
      <c r="D2" s="252" t="s">
        <v>62</v>
      </c>
      <c r="E2" s="258" t="s">
        <v>1</v>
      </c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2" t="s">
        <v>4</v>
      </c>
      <c r="AF2" s="252" t="s">
        <v>83</v>
      </c>
      <c r="AG2" s="252" t="s">
        <v>82</v>
      </c>
      <c r="AH2" s="253" t="s">
        <v>49</v>
      </c>
      <c r="AI2" s="253"/>
      <c r="AJ2" s="253"/>
      <c r="AK2" s="253"/>
      <c r="AL2" s="253"/>
      <c r="AM2" s="254" t="s">
        <v>61</v>
      </c>
      <c r="AN2" s="254" t="s">
        <v>59</v>
      </c>
      <c r="AO2" s="44"/>
      <c r="AP2" s="249"/>
      <c r="AQ2" s="249"/>
      <c r="AR2" s="249"/>
      <c r="AS2" s="249"/>
    </row>
    <row r="3" spans="1:47" ht="41.25" customHeight="1">
      <c r="A3" s="257"/>
      <c r="B3" s="258" t="s">
        <v>0</v>
      </c>
      <c r="C3" s="259"/>
      <c r="D3" s="252"/>
      <c r="E3" s="260" t="s">
        <v>63</v>
      </c>
      <c r="F3" s="251" t="s">
        <v>64</v>
      </c>
      <c r="G3" s="251" t="s">
        <v>65</v>
      </c>
      <c r="H3" s="251" t="s">
        <v>67</v>
      </c>
      <c r="I3" s="251" t="s">
        <v>66</v>
      </c>
      <c r="J3" s="251" t="s">
        <v>68</v>
      </c>
      <c r="K3" s="251" t="s">
        <v>69</v>
      </c>
      <c r="L3" s="251" t="s">
        <v>70</v>
      </c>
      <c r="M3" s="251" t="s">
        <v>71</v>
      </c>
      <c r="N3" s="251" t="s">
        <v>72</v>
      </c>
      <c r="O3" s="251" t="s">
        <v>73</v>
      </c>
      <c r="P3" s="251" t="s">
        <v>74</v>
      </c>
      <c r="Q3" s="251" t="s">
        <v>54</v>
      </c>
      <c r="R3" s="255" t="s">
        <v>93</v>
      </c>
      <c r="S3" s="255" t="s">
        <v>94</v>
      </c>
      <c r="T3" s="251" t="s">
        <v>75</v>
      </c>
      <c r="U3" s="251" t="s">
        <v>76</v>
      </c>
      <c r="V3" s="251" t="s">
        <v>77</v>
      </c>
      <c r="W3" s="251" t="s">
        <v>78</v>
      </c>
      <c r="X3" s="251" t="s">
        <v>55</v>
      </c>
      <c r="Y3" s="251" t="s">
        <v>56</v>
      </c>
      <c r="Z3" s="251" t="s">
        <v>79</v>
      </c>
      <c r="AA3" s="251" t="s">
        <v>80</v>
      </c>
      <c r="AB3" s="262" t="s">
        <v>81</v>
      </c>
      <c r="AC3" s="262" t="s">
        <v>60</v>
      </c>
      <c r="AD3" s="263" t="s">
        <v>57</v>
      </c>
      <c r="AE3" s="252"/>
      <c r="AF3" s="252"/>
      <c r="AG3" s="252"/>
      <c r="AH3" s="38" t="s">
        <v>50</v>
      </c>
      <c r="AI3" s="38" t="s">
        <v>51</v>
      </c>
      <c r="AJ3" s="38" t="s">
        <v>52</v>
      </c>
      <c r="AK3" s="38" t="s">
        <v>53</v>
      </c>
      <c r="AL3" s="38" t="s">
        <v>58</v>
      </c>
      <c r="AM3" s="254"/>
      <c r="AN3" s="254"/>
      <c r="AO3" s="44"/>
      <c r="AP3" s="249" t="s">
        <v>84</v>
      </c>
      <c r="AQ3" s="249"/>
      <c r="AR3" s="249"/>
      <c r="AS3" s="249"/>
    </row>
    <row r="4" spans="1:47" ht="207.75" customHeight="1">
      <c r="A4" s="257"/>
      <c r="B4" s="258"/>
      <c r="C4" s="259"/>
      <c r="D4" s="252"/>
      <c r="E4" s="260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6"/>
      <c r="S4" s="256"/>
      <c r="T4" s="251"/>
      <c r="U4" s="251"/>
      <c r="V4" s="251"/>
      <c r="W4" s="251"/>
      <c r="X4" s="251"/>
      <c r="Y4" s="251"/>
      <c r="Z4" s="251"/>
      <c r="AA4" s="251"/>
      <c r="AB4" s="262"/>
      <c r="AC4" s="262"/>
      <c r="AD4" s="263"/>
      <c r="AE4" s="252"/>
      <c r="AF4" s="252"/>
      <c r="AG4" s="252"/>
      <c r="AH4" s="38"/>
      <c r="AI4" s="38"/>
      <c r="AJ4" s="38"/>
      <c r="AK4" s="38"/>
      <c r="AL4" s="38"/>
      <c r="AM4" s="56"/>
      <c r="AN4" s="56"/>
      <c r="AO4" s="44"/>
      <c r="AP4" s="55" t="s">
        <v>89</v>
      </c>
      <c r="AQ4" s="55" t="s">
        <v>90</v>
      </c>
      <c r="AR4" s="55" t="s">
        <v>91</v>
      </c>
      <c r="AS4" s="55" t="s">
        <v>92</v>
      </c>
    </row>
    <row r="5" spans="1:47" ht="19.5" customHeight="1">
      <c r="A5" s="57">
        <v>1</v>
      </c>
      <c r="B5" s="57">
        <v>2</v>
      </c>
      <c r="C5" s="57">
        <v>3</v>
      </c>
      <c r="D5" s="57">
        <v>4</v>
      </c>
      <c r="E5" s="35">
        <v>5</v>
      </c>
      <c r="F5" s="57">
        <v>6</v>
      </c>
      <c r="G5" s="57">
        <v>7</v>
      </c>
      <c r="H5" s="57">
        <v>8</v>
      </c>
      <c r="I5" s="57">
        <v>9</v>
      </c>
      <c r="J5" s="57">
        <v>11</v>
      </c>
      <c r="K5" s="57">
        <v>12</v>
      </c>
      <c r="L5" s="57">
        <v>13</v>
      </c>
      <c r="M5" s="57">
        <v>14</v>
      </c>
      <c r="N5" s="57">
        <v>10</v>
      </c>
      <c r="O5" s="57">
        <v>11</v>
      </c>
      <c r="P5" s="57">
        <v>12</v>
      </c>
      <c r="Q5" s="57">
        <v>13</v>
      </c>
      <c r="R5" s="72"/>
      <c r="S5" s="72"/>
      <c r="T5" s="57">
        <v>14</v>
      </c>
      <c r="U5" s="57">
        <v>15</v>
      </c>
      <c r="V5" s="57">
        <v>16</v>
      </c>
      <c r="W5" s="57">
        <v>17</v>
      </c>
      <c r="X5" s="57">
        <v>18</v>
      </c>
      <c r="Y5" s="57">
        <v>19</v>
      </c>
      <c r="Z5" s="57">
        <v>20</v>
      </c>
      <c r="AA5" s="57">
        <v>21</v>
      </c>
      <c r="AB5" s="36">
        <v>30</v>
      </c>
      <c r="AC5" s="36">
        <v>31</v>
      </c>
      <c r="AD5" s="35">
        <v>32</v>
      </c>
      <c r="AE5" s="35">
        <v>25</v>
      </c>
      <c r="AF5" s="35">
        <v>22</v>
      </c>
      <c r="AG5" s="35">
        <v>23</v>
      </c>
      <c r="AH5" s="35">
        <v>35</v>
      </c>
      <c r="AI5" s="35">
        <v>36</v>
      </c>
      <c r="AJ5" s="35">
        <v>37</v>
      </c>
      <c r="AK5" s="35">
        <v>38</v>
      </c>
      <c r="AL5" s="35">
        <v>39</v>
      </c>
      <c r="AM5" s="35">
        <v>40</v>
      </c>
      <c r="AN5" s="35">
        <v>41</v>
      </c>
      <c r="AO5" s="45"/>
      <c r="AP5" s="40">
        <v>31</v>
      </c>
      <c r="AQ5" s="40">
        <v>32</v>
      </c>
      <c r="AR5" s="40">
        <v>33</v>
      </c>
      <c r="AS5" s="40">
        <v>34</v>
      </c>
    </row>
    <row r="6" spans="1:47" ht="19.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59"/>
      <c r="AQ6" s="59"/>
      <c r="AR6" s="59"/>
      <c r="AS6" s="59"/>
    </row>
    <row r="7" spans="1:47" ht="18.75">
      <c r="A7" s="61"/>
      <c r="B7" s="26" t="s">
        <v>2</v>
      </c>
      <c r="C7" s="26"/>
      <c r="D7" s="63"/>
      <c r="E7" s="68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9"/>
      <c r="AC7" s="69"/>
      <c r="AD7" s="68"/>
      <c r="AE7" s="68"/>
      <c r="AF7" s="68"/>
      <c r="AG7" s="68"/>
      <c r="AH7" s="59"/>
      <c r="AI7" s="59"/>
      <c r="AJ7" s="59"/>
      <c r="AK7" s="59"/>
      <c r="AL7" s="59"/>
      <c r="AM7" s="59"/>
      <c r="AN7" s="59"/>
      <c r="AO7" s="70" t="e">
        <f>#REF!-#REF!</f>
        <v>#REF!</v>
      </c>
      <c r="AP7" s="59"/>
      <c r="AQ7" s="59"/>
      <c r="AR7" s="59"/>
      <c r="AS7" s="59"/>
    </row>
    <row r="8" spans="1:47" ht="18.75">
      <c r="A8" s="61">
        <f t="shared" ref="A8:A32" si="0">A7+1</f>
        <v>1</v>
      </c>
      <c r="B8" s="60" t="s">
        <v>6</v>
      </c>
      <c r="C8" s="66" t="s">
        <v>3</v>
      </c>
      <c r="D8" s="62">
        <v>5.04</v>
      </c>
      <c r="E8" s="62">
        <v>5.17</v>
      </c>
      <c r="F8" s="62">
        <v>1.32</v>
      </c>
      <c r="G8" s="62">
        <v>2.12</v>
      </c>
      <c r="H8" s="62">
        <v>2.9</v>
      </c>
      <c r="I8" s="62">
        <v>2.63</v>
      </c>
      <c r="J8" s="62"/>
      <c r="K8" s="62"/>
      <c r="L8" s="62"/>
      <c r="M8" s="62"/>
      <c r="N8" s="62">
        <v>0.11</v>
      </c>
      <c r="O8" s="62">
        <v>8.16</v>
      </c>
      <c r="P8" s="62">
        <v>0.37</v>
      </c>
      <c r="Q8" s="62">
        <v>0.85</v>
      </c>
      <c r="R8" s="62"/>
      <c r="S8" s="62"/>
      <c r="T8" s="62">
        <v>0.31</v>
      </c>
      <c r="U8" s="62"/>
      <c r="V8" s="62">
        <v>0.12</v>
      </c>
      <c r="W8" s="62">
        <v>0.18</v>
      </c>
      <c r="X8" s="62">
        <v>0.15</v>
      </c>
      <c r="Y8" s="62">
        <v>0.09</v>
      </c>
      <c r="Z8" s="62">
        <v>0.14000000000000001</v>
      </c>
      <c r="AA8" s="62"/>
      <c r="AB8" s="69"/>
      <c r="AC8" s="69"/>
      <c r="AD8" s="71"/>
      <c r="AE8" s="65">
        <f t="shared" ref="AE8:AE23" si="1">SUM(E8:AD8)</f>
        <v>24.62</v>
      </c>
      <c r="AF8" s="65">
        <f t="shared" ref="AF8:AF40" si="2">E8+G8+H8+I8+J8+L8+N8+O8+P8+Q8+T8+U8+V8+W8+X8+Y8+Z8+AD8</f>
        <v>23.3</v>
      </c>
      <c r="AG8" s="63">
        <f t="shared" ref="AG8:AG32" si="3">AH8+AI8+AL8+AJ8+AK8</f>
        <v>9.1440000000000001</v>
      </c>
      <c r="AH8" s="67">
        <v>2.7440000000000002</v>
      </c>
      <c r="AI8" s="64">
        <v>0.32</v>
      </c>
      <c r="AJ8" s="64">
        <v>3.95</v>
      </c>
      <c r="AK8" s="64">
        <v>2.13</v>
      </c>
      <c r="AL8" s="64"/>
      <c r="AM8" s="65">
        <f t="shared" ref="AM8:AM23" si="4">AE8+AG8</f>
        <v>33.764000000000003</v>
      </c>
      <c r="AN8" s="65">
        <f t="shared" ref="AN8:AN40" si="5">AM8+D8</f>
        <v>38.804000000000002</v>
      </c>
      <c r="AO8" s="70"/>
      <c r="AP8" s="58">
        <v>0.98757048229438937</v>
      </c>
      <c r="AQ8" s="58">
        <v>0.30598553761323355</v>
      </c>
      <c r="AR8" s="58">
        <v>0</v>
      </c>
      <c r="AS8" s="58">
        <v>0.29495555730602596</v>
      </c>
      <c r="AT8" s="80">
        <f>D8+AF8+AG8</f>
        <v>37.484000000000002</v>
      </c>
      <c r="AU8" s="80">
        <f>AT8+AP8+AQ8+AR8+AS8</f>
        <v>39.072511577213646</v>
      </c>
    </row>
    <row r="9" spans="1:47" ht="18.75">
      <c r="A9" s="61">
        <f t="shared" si="0"/>
        <v>2</v>
      </c>
      <c r="B9" s="60" t="s">
        <v>7</v>
      </c>
      <c r="C9" s="66" t="s">
        <v>3</v>
      </c>
      <c r="D9" s="62">
        <v>5.04</v>
      </c>
      <c r="E9" s="62">
        <v>4.4000000000000004</v>
      </c>
      <c r="F9" s="62">
        <v>1.49</v>
      </c>
      <c r="G9" s="62">
        <v>2.2599999999999998</v>
      </c>
      <c r="H9" s="62">
        <v>3.1</v>
      </c>
      <c r="I9" s="62">
        <v>2.46</v>
      </c>
      <c r="J9" s="62"/>
      <c r="K9" s="62"/>
      <c r="L9" s="62"/>
      <c r="M9" s="62"/>
      <c r="N9" s="62">
        <v>0.1</v>
      </c>
      <c r="O9" s="62">
        <v>7.68</v>
      </c>
      <c r="P9" s="62">
        <v>0.37</v>
      </c>
      <c r="Q9" s="62">
        <v>0.7</v>
      </c>
      <c r="R9" s="62"/>
      <c r="S9" s="62"/>
      <c r="T9" s="62">
        <v>0.51</v>
      </c>
      <c r="U9" s="62"/>
      <c r="V9" s="62">
        <v>0.36</v>
      </c>
      <c r="W9" s="62">
        <v>0.35</v>
      </c>
      <c r="X9" s="62"/>
      <c r="Y9" s="62">
        <v>0.15</v>
      </c>
      <c r="Z9" s="62">
        <v>0.38</v>
      </c>
      <c r="AA9" s="62"/>
      <c r="AB9" s="69"/>
      <c r="AC9" s="69"/>
      <c r="AD9" s="71"/>
      <c r="AE9" s="65">
        <f t="shared" si="1"/>
        <v>24.310000000000002</v>
      </c>
      <c r="AF9" s="65">
        <f t="shared" si="2"/>
        <v>22.82</v>
      </c>
      <c r="AG9" s="63">
        <f t="shared" si="3"/>
        <v>9.59</v>
      </c>
      <c r="AH9" s="64">
        <v>3.33</v>
      </c>
      <c r="AI9" s="64">
        <v>0.95</v>
      </c>
      <c r="AJ9" s="64">
        <v>3.69</v>
      </c>
      <c r="AK9" s="64">
        <v>2.39</v>
      </c>
      <c r="AL9" s="64">
        <v>-0.77</v>
      </c>
      <c r="AM9" s="65">
        <f t="shared" si="4"/>
        <v>33.900000000000006</v>
      </c>
      <c r="AN9" s="65">
        <f t="shared" si="5"/>
        <v>38.940000000000005</v>
      </c>
      <c r="AO9" s="70"/>
      <c r="AP9" s="58">
        <v>0.93185721085197537</v>
      </c>
      <c r="AQ9" s="58">
        <v>0.27928548548310328</v>
      </c>
      <c r="AR9" s="58">
        <v>0</v>
      </c>
      <c r="AS9" s="58">
        <v>0.26921797239409806</v>
      </c>
    </row>
    <row r="10" spans="1:47" ht="18.75">
      <c r="A10" s="61">
        <f t="shared" si="0"/>
        <v>3</v>
      </c>
      <c r="B10" s="60" t="s">
        <v>8</v>
      </c>
      <c r="C10" s="66" t="s">
        <v>3</v>
      </c>
      <c r="D10" s="62">
        <v>5.04</v>
      </c>
      <c r="E10" s="62">
        <v>5.8</v>
      </c>
      <c r="F10" s="62">
        <v>1.26</v>
      </c>
      <c r="G10" s="62">
        <v>2.38</v>
      </c>
      <c r="H10" s="62">
        <v>3.27</v>
      </c>
      <c r="I10" s="62">
        <v>3</v>
      </c>
      <c r="J10" s="62"/>
      <c r="K10" s="62"/>
      <c r="L10" s="62"/>
      <c r="M10" s="62"/>
      <c r="N10" s="62">
        <v>0.12</v>
      </c>
      <c r="O10" s="62">
        <v>6.16</v>
      </c>
      <c r="P10" s="62">
        <v>0.37</v>
      </c>
      <c r="Q10" s="62">
        <v>0.81</v>
      </c>
      <c r="R10" s="62"/>
      <c r="S10" s="62"/>
      <c r="T10" s="62">
        <v>0.31</v>
      </c>
      <c r="U10" s="62"/>
      <c r="V10" s="62">
        <v>0.22</v>
      </c>
      <c r="W10" s="62">
        <v>0.21</v>
      </c>
      <c r="X10" s="62"/>
      <c r="Y10" s="62">
        <v>0.09</v>
      </c>
      <c r="Z10" s="62">
        <v>0.23</v>
      </c>
      <c r="AA10" s="62"/>
      <c r="AB10" s="69"/>
      <c r="AC10" s="69"/>
      <c r="AD10" s="71"/>
      <c r="AE10" s="65">
        <f t="shared" si="1"/>
        <v>24.229999999999997</v>
      </c>
      <c r="AF10" s="65">
        <f t="shared" si="2"/>
        <v>22.969999999999995</v>
      </c>
      <c r="AG10" s="63">
        <f t="shared" si="3"/>
        <v>9.5640000000000001</v>
      </c>
      <c r="AH10" s="67">
        <v>3.004</v>
      </c>
      <c r="AI10" s="64">
        <v>0.3</v>
      </c>
      <c r="AJ10" s="64">
        <v>4.49</v>
      </c>
      <c r="AK10" s="64">
        <v>1.77</v>
      </c>
      <c r="AL10" s="64"/>
      <c r="AM10" s="65">
        <f t="shared" si="4"/>
        <v>33.793999999999997</v>
      </c>
      <c r="AN10" s="65">
        <f t="shared" si="5"/>
        <v>38.833999999999996</v>
      </c>
      <c r="AO10" s="70"/>
      <c r="AP10" s="58">
        <v>1.1392119707924178</v>
      </c>
      <c r="AQ10" s="58">
        <v>0.35254802201359664</v>
      </c>
      <c r="AR10" s="58">
        <v>0</v>
      </c>
      <c r="AS10" s="58">
        <v>0.33983958562641631</v>
      </c>
    </row>
    <row r="11" spans="1:47" ht="18.75">
      <c r="A11" s="61">
        <f t="shared" si="0"/>
        <v>4</v>
      </c>
      <c r="B11" s="60" t="s">
        <v>9</v>
      </c>
      <c r="C11" s="66" t="s">
        <v>3</v>
      </c>
      <c r="D11" s="62">
        <v>5.04</v>
      </c>
      <c r="E11" s="62">
        <v>2.36</v>
      </c>
      <c r="F11" s="62">
        <v>1.49</v>
      </c>
      <c r="G11" s="62">
        <v>3.05</v>
      </c>
      <c r="H11" s="62">
        <v>2.0699999999999998</v>
      </c>
      <c r="I11" s="62">
        <v>1.35</v>
      </c>
      <c r="J11" s="62"/>
      <c r="K11" s="62"/>
      <c r="L11" s="62"/>
      <c r="M11" s="62"/>
      <c r="N11" s="62">
        <v>0.1</v>
      </c>
      <c r="O11" s="62">
        <v>8.3800000000000008</v>
      </c>
      <c r="P11" s="62">
        <v>0.37</v>
      </c>
      <c r="Q11" s="62">
        <v>0.75</v>
      </c>
      <c r="R11" s="62"/>
      <c r="S11" s="62"/>
      <c r="T11" s="62">
        <v>0.27</v>
      </c>
      <c r="U11" s="62"/>
      <c r="V11" s="62">
        <v>0.19</v>
      </c>
      <c r="W11" s="62">
        <v>0.19</v>
      </c>
      <c r="X11" s="62"/>
      <c r="Y11" s="62">
        <v>0.08</v>
      </c>
      <c r="Z11" s="62">
        <v>0.2</v>
      </c>
      <c r="AA11" s="62"/>
      <c r="AB11" s="69"/>
      <c r="AC11" s="69"/>
      <c r="AD11" s="71"/>
      <c r="AE11" s="65">
        <f t="shared" si="1"/>
        <v>20.849999999999998</v>
      </c>
      <c r="AF11" s="65">
        <f t="shared" si="2"/>
        <v>19.360000000000003</v>
      </c>
      <c r="AG11" s="63">
        <f t="shared" si="3"/>
        <v>12.7</v>
      </c>
      <c r="AH11" s="64">
        <v>7.96</v>
      </c>
      <c r="AI11" s="64"/>
      <c r="AJ11" s="64">
        <v>2.0299999999999998</v>
      </c>
      <c r="AK11" s="64">
        <v>3.02</v>
      </c>
      <c r="AL11" s="64">
        <v>-0.31</v>
      </c>
      <c r="AM11" s="65">
        <f t="shared" si="4"/>
        <v>33.549999999999997</v>
      </c>
      <c r="AN11" s="65">
        <f t="shared" si="5"/>
        <v>38.589999999999996</v>
      </c>
      <c r="AO11" s="70"/>
      <c r="AP11" s="58">
        <v>0.77730308135598547</v>
      </c>
      <c r="AQ11" s="58">
        <v>0.11854715938971201</v>
      </c>
      <c r="AR11" s="58">
        <v>0</v>
      </c>
      <c r="AS11" s="58">
        <v>0.11427384358615042</v>
      </c>
    </row>
    <row r="12" spans="1:47" ht="18.75">
      <c r="A12" s="61">
        <f t="shared" si="0"/>
        <v>5</v>
      </c>
      <c r="B12" s="60" t="s">
        <v>10</v>
      </c>
      <c r="C12" s="66" t="s">
        <v>3</v>
      </c>
      <c r="D12" s="62">
        <v>5.04</v>
      </c>
      <c r="E12" s="62">
        <v>2.17</v>
      </c>
      <c r="F12" s="62">
        <v>1.75</v>
      </c>
      <c r="G12" s="62">
        <v>3.09</v>
      </c>
      <c r="H12" s="62">
        <v>1.92</v>
      </c>
      <c r="I12" s="62">
        <v>1.25</v>
      </c>
      <c r="J12" s="62"/>
      <c r="K12" s="62"/>
      <c r="L12" s="62"/>
      <c r="M12" s="62"/>
      <c r="N12" s="62">
        <v>0.11</v>
      </c>
      <c r="O12" s="62">
        <v>9.6999999999999993</v>
      </c>
      <c r="P12" s="62">
        <v>0.37</v>
      </c>
      <c r="Q12" s="62">
        <v>0.9</v>
      </c>
      <c r="R12" s="62"/>
      <c r="S12" s="62"/>
      <c r="T12" s="62">
        <v>0.27</v>
      </c>
      <c r="U12" s="62"/>
      <c r="V12" s="62">
        <v>0.19</v>
      </c>
      <c r="W12" s="62">
        <v>0.19</v>
      </c>
      <c r="X12" s="62"/>
      <c r="Y12" s="62">
        <v>0.08</v>
      </c>
      <c r="Z12" s="62">
        <v>0.2</v>
      </c>
      <c r="AA12" s="62"/>
      <c r="AB12" s="69"/>
      <c r="AC12" s="69"/>
      <c r="AD12" s="71"/>
      <c r="AE12" s="65">
        <f t="shared" si="1"/>
        <v>22.189999999999998</v>
      </c>
      <c r="AF12" s="65">
        <f t="shared" si="2"/>
        <v>20.439999999999998</v>
      </c>
      <c r="AG12" s="63">
        <f t="shared" si="3"/>
        <v>11.384</v>
      </c>
      <c r="AH12" s="67">
        <v>7.0540000000000003</v>
      </c>
      <c r="AI12" s="64"/>
      <c r="AJ12" s="64">
        <v>1.88</v>
      </c>
      <c r="AK12" s="64">
        <v>3.02</v>
      </c>
      <c r="AL12" s="64">
        <v>-0.56999999999999995</v>
      </c>
      <c r="AM12" s="65">
        <f t="shared" si="4"/>
        <v>33.573999999999998</v>
      </c>
      <c r="AN12" s="65">
        <f t="shared" si="5"/>
        <v>38.613999999999997</v>
      </c>
      <c r="AO12" s="70"/>
      <c r="AP12" s="58">
        <v>0.77514250325531164</v>
      </c>
      <c r="AQ12" s="58">
        <v>9.9782894527900401E-2</v>
      </c>
      <c r="AR12" s="58">
        <v>0</v>
      </c>
      <c r="AS12" s="58">
        <v>9.6185981516181282E-2</v>
      </c>
    </row>
    <row r="13" spans="1:47" ht="18.75">
      <c r="A13" s="61">
        <f t="shared" si="0"/>
        <v>6</v>
      </c>
      <c r="B13" s="60" t="s">
        <v>11</v>
      </c>
      <c r="C13" s="66" t="s">
        <v>3</v>
      </c>
      <c r="D13" s="62">
        <v>5.04</v>
      </c>
      <c r="E13" s="62">
        <v>4.76</v>
      </c>
      <c r="F13" s="62">
        <v>1.37</v>
      </c>
      <c r="G13" s="62">
        <v>2.11</v>
      </c>
      <c r="H13" s="62">
        <v>2.87</v>
      </c>
      <c r="I13" s="62">
        <v>2.4</v>
      </c>
      <c r="J13" s="62"/>
      <c r="K13" s="62"/>
      <c r="L13" s="62"/>
      <c r="M13" s="62"/>
      <c r="N13" s="62">
        <v>0.12</v>
      </c>
      <c r="O13" s="62">
        <v>8.27</v>
      </c>
      <c r="P13" s="62">
        <v>0.37</v>
      </c>
      <c r="Q13" s="62">
        <v>1.05</v>
      </c>
      <c r="R13" s="62"/>
      <c r="S13" s="62"/>
      <c r="T13" s="62">
        <v>0.37</v>
      </c>
      <c r="U13" s="62"/>
      <c r="V13" s="62">
        <v>0.27</v>
      </c>
      <c r="W13" s="62">
        <v>0.26</v>
      </c>
      <c r="X13" s="62"/>
      <c r="Y13" s="62">
        <v>0.11</v>
      </c>
      <c r="Z13" s="62">
        <v>0.27</v>
      </c>
      <c r="AA13" s="62"/>
      <c r="AB13" s="69"/>
      <c r="AC13" s="69"/>
      <c r="AD13" s="71"/>
      <c r="AE13" s="65">
        <f t="shared" si="1"/>
        <v>24.6</v>
      </c>
      <c r="AF13" s="65">
        <f t="shared" si="2"/>
        <v>23.23</v>
      </c>
      <c r="AG13" s="63">
        <f t="shared" si="3"/>
        <v>9.34</v>
      </c>
      <c r="AH13" s="64">
        <v>2.96</v>
      </c>
      <c r="AI13" s="64">
        <v>0.74</v>
      </c>
      <c r="AJ13" s="64">
        <v>3.59</v>
      </c>
      <c r="AK13" s="64">
        <v>2.2400000000000002</v>
      </c>
      <c r="AL13" s="64">
        <v>-0.19</v>
      </c>
      <c r="AM13" s="65">
        <f t="shared" si="4"/>
        <v>33.94</v>
      </c>
      <c r="AN13" s="65">
        <f t="shared" si="5"/>
        <v>38.979999999999997</v>
      </c>
      <c r="AO13" s="70"/>
      <c r="AP13" s="58">
        <v>1.0925916359696639</v>
      </c>
      <c r="AQ13" s="58">
        <v>0.32925670205850482</v>
      </c>
      <c r="AR13" s="58">
        <v>0</v>
      </c>
      <c r="AS13" s="58">
        <v>0.31738785698808236</v>
      </c>
    </row>
    <row r="14" spans="1:47" ht="18.75">
      <c r="A14" s="61">
        <f t="shared" si="0"/>
        <v>7</v>
      </c>
      <c r="B14" s="60" t="s">
        <v>12</v>
      </c>
      <c r="C14" s="66" t="s">
        <v>3</v>
      </c>
      <c r="D14" s="62">
        <v>5.04</v>
      </c>
      <c r="E14" s="62">
        <v>4.7699999999999996</v>
      </c>
      <c r="F14" s="62">
        <v>1.29</v>
      </c>
      <c r="G14" s="62">
        <v>2.1</v>
      </c>
      <c r="H14" s="62">
        <v>2.87</v>
      </c>
      <c r="I14" s="62">
        <v>2.4</v>
      </c>
      <c r="J14" s="62"/>
      <c r="K14" s="62"/>
      <c r="L14" s="62"/>
      <c r="M14" s="62"/>
      <c r="N14" s="62">
        <v>0.11</v>
      </c>
      <c r="O14" s="62">
        <v>8.16</v>
      </c>
      <c r="P14" s="62">
        <v>0.37</v>
      </c>
      <c r="Q14" s="62">
        <v>1</v>
      </c>
      <c r="R14" s="62"/>
      <c r="S14" s="62"/>
      <c r="T14" s="62">
        <v>0.37</v>
      </c>
      <c r="U14" s="62"/>
      <c r="V14" s="62">
        <v>0.14000000000000001</v>
      </c>
      <c r="W14" s="62">
        <v>0.21</v>
      </c>
      <c r="X14" s="62">
        <v>0.19</v>
      </c>
      <c r="Y14" s="62">
        <v>0.11</v>
      </c>
      <c r="Z14" s="62">
        <v>0.17</v>
      </c>
      <c r="AA14" s="62"/>
      <c r="AB14" s="69"/>
      <c r="AC14" s="69"/>
      <c r="AD14" s="71"/>
      <c r="AE14" s="65">
        <f t="shared" si="1"/>
        <v>24.260000000000009</v>
      </c>
      <c r="AF14" s="65">
        <f t="shared" si="2"/>
        <v>22.970000000000002</v>
      </c>
      <c r="AG14" s="63">
        <f t="shared" si="3"/>
        <v>9.64</v>
      </c>
      <c r="AH14" s="64">
        <v>3.07</v>
      </c>
      <c r="AI14" s="64">
        <v>0.75</v>
      </c>
      <c r="AJ14" s="64">
        <v>3.6</v>
      </c>
      <c r="AK14" s="64">
        <v>2.2400000000000002</v>
      </c>
      <c r="AL14" s="64">
        <v>-0.02</v>
      </c>
      <c r="AM14" s="65">
        <f t="shared" si="4"/>
        <v>33.900000000000006</v>
      </c>
      <c r="AN14" s="65">
        <f t="shared" si="5"/>
        <v>38.940000000000005</v>
      </c>
      <c r="AO14" s="70"/>
      <c r="AP14" s="58">
        <v>1.0609556722962705</v>
      </c>
      <c r="AQ14" s="58">
        <v>0.32737696348717055</v>
      </c>
      <c r="AR14" s="58">
        <v>0</v>
      </c>
      <c r="AS14" s="58">
        <v>0.31557587808796073</v>
      </c>
    </row>
    <row r="15" spans="1:47" ht="18.75">
      <c r="A15" s="61">
        <f t="shared" si="0"/>
        <v>8</v>
      </c>
      <c r="B15" s="60" t="s">
        <v>13</v>
      </c>
      <c r="C15" s="66" t="s">
        <v>3</v>
      </c>
      <c r="D15" s="62">
        <v>5.04</v>
      </c>
      <c r="E15" s="62">
        <v>5.58</v>
      </c>
      <c r="F15" s="62">
        <v>1.1499999999999999</v>
      </c>
      <c r="G15" s="62">
        <v>2.39</v>
      </c>
      <c r="H15" s="62">
        <v>3.28</v>
      </c>
      <c r="I15" s="62">
        <v>2.72</v>
      </c>
      <c r="J15" s="62"/>
      <c r="K15" s="62"/>
      <c r="L15" s="62"/>
      <c r="M15" s="62"/>
      <c r="N15" s="62">
        <v>0.11</v>
      </c>
      <c r="O15" s="62">
        <v>5.86</v>
      </c>
      <c r="P15" s="62">
        <v>0.37</v>
      </c>
      <c r="Q15" s="62">
        <v>0.85</v>
      </c>
      <c r="R15" s="62"/>
      <c r="S15" s="62"/>
      <c r="T15" s="62">
        <v>0.37</v>
      </c>
      <c r="U15" s="62"/>
      <c r="V15" s="62">
        <v>0.26</v>
      </c>
      <c r="W15" s="62">
        <v>0.25</v>
      </c>
      <c r="X15" s="62"/>
      <c r="Y15" s="62">
        <v>0.11</v>
      </c>
      <c r="Z15" s="62">
        <v>0.27</v>
      </c>
      <c r="AA15" s="62"/>
      <c r="AB15" s="69"/>
      <c r="AC15" s="69"/>
      <c r="AD15" s="71"/>
      <c r="AE15" s="65">
        <f t="shared" si="1"/>
        <v>23.570000000000004</v>
      </c>
      <c r="AF15" s="65">
        <f t="shared" si="2"/>
        <v>22.420000000000005</v>
      </c>
      <c r="AG15" s="63">
        <f t="shared" si="3"/>
        <v>10.294</v>
      </c>
      <c r="AH15" s="67">
        <v>3.1739999999999999</v>
      </c>
      <c r="AI15" s="64">
        <v>0.55000000000000004</v>
      </c>
      <c r="AJ15" s="64">
        <v>4.08</v>
      </c>
      <c r="AK15" s="64">
        <v>2.4900000000000002</v>
      </c>
      <c r="AL15" s="64"/>
      <c r="AM15" s="65">
        <f t="shared" si="4"/>
        <v>33.864000000000004</v>
      </c>
      <c r="AN15" s="65">
        <f t="shared" si="5"/>
        <v>38.904000000000003</v>
      </c>
      <c r="AO15" s="70"/>
      <c r="AP15" s="58">
        <v>1.0657635639728829</v>
      </c>
      <c r="AQ15" s="58">
        <v>0.33495430453029162</v>
      </c>
      <c r="AR15" s="58">
        <v>0</v>
      </c>
      <c r="AS15" s="58">
        <v>0.32288007575594529</v>
      </c>
    </row>
    <row r="16" spans="1:47" ht="18.75">
      <c r="A16" s="61">
        <f t="shared" si="0"/>
        <v>9</v>
      </c>
      <c r="B16" s="60" t="s">
        <v>14</v>
      </c>
      <c r="C16" s="66" t="s">
        <v>3</v>
      </c>
      <c r="D16" s="62">
        <v>5.04</v>
      </c>
      <c r="E16" s="62">
        <v>5.93</v>
      </c>
      <c r="F16" s="62">
        <v>1.37</v>
      </c>
      <c r="G16" s="62">
        <v>2.2200000000000002</v>
      </c>
      <c r="H16" s="62">
        <v>3.03</v>
      </c>
      <c r="I16" s="62">
        <v>2.83</v>
      </c>
      <c r="J16" s="62"/>
      <c r="K16" s="62"/>
      <c r="L16" s="62"/>
      <c r="M16" s="62"/>
      <c r="N16" s="62">
        <v>0.11</v>
      </c>
      <c r="O16" s="62">
        <v>5.66</v>
      </c>
      <c r="P16" s="62">
        <v>0.37</v>
      </c>
      <c r="Q16" s="62">
        <v>0.64</v>
      </c>
      <c r="R16" s="62"/>
      <c r="S16" s="62"/>
      <c r="T16" s="62">
        <v>0.49</v>
      </c>
      <c r="U16" s="62"/>
      <c r="V16" s="62">
        <v>0.35</v>
      </c>
      <c r="W16" s="62">
        <v>0.34</v>
      </c>
      <c r="X16" s="62"/>
      <c r="Y16" s="62">
        <v>0.14000000000000001</v>
      </c>
      <c r="Z16" s="62">
        <v>0.36</v>
      </c>
      <c r="AA16" s="62"/>
      <c r="AB16" s="69"/>
      <c r="AC16" s="69"/>
      <c r="AD16" s="71"/>
      <c r="AE16" s="65">
        <f t="shared" si="1"/>
        <v>23.84</v>
      </c>
      <c r="AF16" s="65">
        <f t="shared" si="2"/>
        <v>22.470000000000002</v>
      </c>
      <c r="AG16" s="63">
        <f t="shared" si="3"/>
        <v>10.06</v>
      </c>
      <c r="AH16" s="64">
        <v>3.1</v>
      </c>
      <c r="AI16" s="64">
        <v>0.91</v>
      </c>
      <c r="AJ16" s="64">
        <v>4.25</v>
      </c>
      <c r="AK16" s="64">
        <v>2.4</v>
      </c>
      <c r="AL16" s="64">
        <v>-0.6</v>
      </c>
      <c r="AM16" s="65">
        <f t="shared" si="4"/>
        <v>33.9</v>
      </c>
      <c r="AN16" s="65">
        <f t="shared" si="5"/>
        <v>38.94</v>
      </c>
      <c r="AO16" s="70"/>
      <c r="AP16" s="58">
        <v>1.0458805781079059</v>
      </c>
      <c r="AQ16" s="58">
        <v>0.32259542580756606</v>
      </c>
      <c r="AR16" s="58">
        <v>0</v>
      </c>
      <c r="AS16" s="58">
        <v>0.31096670236655727</v>
      </c>
    </row>
    <row r="17" spans="1:45" ht="15" customHeight="1">
      <c r="A17" s="61">
        <f t="shared" si="0"/>
        <v>10</v>
      </c>
      <c r="B17" s="60" t="s">
        <v>15</v>
      </c>
      <c r="C17" s="66" t="s">
        <v>3</v>
      </c>
      <c r="D17" s="62">
        <v>5.04</v>
      </c>
      <c r="E17" s="62">
        <v>5.66</v>
      </c>
      <c r="F17" s="62">
        <v>1.39</v>
      </c>
      <c r="G17" s="62">
        <v>2.2400000000000002</v>
      </c>
      <c r="H17" s="62">
        <v>3.08</v>
      </c>
      <c r="I17" s="62">
        <v>2.9</v>
      </c>
      <c r="J17" s="62"/>
      <c r="K17" s="62"/>
      <c r="L17" s="62"/>
      <c r="M17" s="62"/>
      <c r="N17" s="62">
        <v>0.11</v>
      </c>
      <c r="O17" s="62">
        <v>5.78</v>
      </c>
      <c r="P17" s="62">
        <v>0.37</v>
      </c>
      <c r="Q17" s="62">
        <v>0.55000000000000004</v>
      </c>
      <c r="R17" s="62"/>
      <c r="S17" s="62"/>
      <c r="T17" s="62">
        <v>0.31</v>
      </c>
      <c r="U17" s="62"/>
      <c r="V17" s="62">
        <v>0.22</v>
      </c>
      <c r="W17" s="62">
        <v>0.21</v>
      </c>
      <c r="X17" s="62"/>
      <c r="Y17" s="62">
        <v>0.09</v>
      </c>
      <c r="Z17" s="62">
        <v>0.23</v>
      </c>
      <c r="AA17" s="62"/>
      <c r="AB17" s="69"/>
      <c r="AC17" s="69"/>
      <c r="AD17" s="71"/>
      <c r="AE17" s="65">
        <f t="shared" si="1"/>
        <v>23.14</v>
      </c>
      <c r="AF17" s="65">
        <f t="shared" si="2"/>
        <v>21.75</v>
      </c>
      <c r="AG17" s="63">
        <f t="shared" si="3"/>
        <v>10.754</v>
      </c>
      <c r="AH17" s="67">
        <v>3.294</v>
      </c>
      <c r="AI17" s="64">
        <v>0.75</v>
      </c>
      <c r="AJ17" s="64">
        <v>4.3499999999999996</v>
      </c>
      <c r="AK17" s="64">
        <v>2.36</v>
      </c>
      <c r="AL17" s="64"/>
      <c r="AM17" s="65">
        <f t="shared" si="4"/>
        <v>33.893999999999998</v>
      </c>
      <c r="AN17" s="65">
        <f t="shared" si="5"/>
        <v>38.933999999999997</v>
      </c>
      <c r="AO17" s="70"/>
      <c r="AP17" s="58">
        <v>1.033596592911832</v>
      </c>
      <c r="AQ17" s="58">
        <v>0.31298231846244978</v>
      </c>
      <c r="AR17" s="58">
        <v>0</v>
      </c>
      <c r="AS17" s="58">
        <v>0.30170012246040029</v>
      </c>
    </row>
    <row r="18" spans="1:45" ht="18.75">
      <c r="A18" s="61">
        <f t="shared" si="0"/>
        <v>11</v>
      </c>
      <c r="B18" s="60" t="s">
        <v>16</v>
      </c>
      <c r="C18" s="66" t="s">
        <v>3</v>
      </c>
      <c r="D18" s="62">
        <v>5.04</v>
      </c>
      <c r="E18" s="62">
        <v>5.76</v>
      </c>
      <c r="F18" s="62">
        <v>1.23</v>
      </c>
      <c r="G18" s="62">
        <v>2.19</v>
      </c>
      <c r="H18" s="62">
        <v>3</v>
      </c>
      <c r="I18" s="62">
        <v>2.81</v>
      </c>
      <c r="J18" s="62"/>
      <c r="K18" s="62"/>
      <c r="L18" s="62"/>
      <c r="M18" s="62"/>
      <c r="N18" s="62">
        <v>0.11</v>
      </c>
      <c r="O18" s="62">
        <v>6.31</v>
      </c>
      <c r="P18" s="62">
        <v>0.37</v>
      </c>
      <c r="Q18" s="62">
        <v>0.6</v>
      </c>
      <c r="R18" s="62"/>
      <c r="S18" s="62"/>
      <c r="T18" s="62"/>
      <c r="U18" s="62"/>
      <c r="V18" s="62"/>
      <c r="W18" s="62"/>
      <c r="X18" s="62"/>
      <c r="Y18" s="62"/>
      <c r="Z18" s="62">
        <v>0.23</v>
      </c>
      <c r="AA18" s="62"/>
      <c r="AB18" s="69"/>
      <c r="AC18" s="69"/>
      <c r="AD18" s="71"/>
      <c r="AE18" s="65">
        <f t="shared" si="1"/>
        <v>22.610000000000003</v>
      </c>
      <c r="AF18" s="65">
        <f t="shared" si="2"/>
        <v>21.380000000000003</v>
      </c>
      <c r="AG18" s="63">
        <f t="shared" si="3"/>
        <v>10.3</v>
      </c>
      <c r="AH18" s="64">
        <v>3.12</v>
      </c>
      <c r="AI18" s="64">
        <v>0.66</v>
      </c>
      <c r="AJ18" s="64">
        <v>4.22</v>
      </c>
      <c r="AK18" s="64">
        <v>2.2999999999999998</v>
      </c>
      <c r="AL18" s="64"/>
      <c r="AM18" s="65">
        <f t="shared" si="4"/>
        <v>32.910000000000004</v>
      </c>
      <c r="AN18" s="65">
        <f t="shared" si="5"/>
        <v>37.950000000000003</v>
      </c>
      <c r="AO18" s="70"/>
      <c r="AP18" s="58">
        <v>1.0361198640716711</v>
      </c>
      <c r="AQ18" s="58">
        <v>0.3173946028457722</v>
      </c>
      <c r="AR18" s="58">
        <v>0</v>
      </c>
      <c r="AS18" s="58">
        <v>0.30595335550346181</v>
      </c>
    </row>
    <row r="19" spans="1:45" ht="18.75">
      <c r="A19" s="61">
        <f t="shared" si="0"/>
        <v>12</v>
      </c>
      <c r="B19" s="60" t="s">
        <v>17</v>
      </c>
      <c r="C19" s="66" t="s">
        <v>3</v>
      </c>
      <c r="D19" s="62">
        <v>5.04</v>
      </c>
      <c r="E19" s="62">
        <v>5.03</v>
      </c>
      <c r="F19" s="62">
        <v>1.28</v>
      </c>
      <c r="G19" s="62">
        <v>3.08</v>
      </c>
      <c r="H19" s="62">
        <v>3.48</v>
      </c>
      <c r="I19" s="62">
        <v>2.86</v>
      </c>
      <c r="J19" s="62"/>
      <c r="K19" s="62"/>
      <c r="L19" s="62"/>
      <c r="M19" s="62"/>
      <c r="N19" s="62">
        <v>0.11</v>
      </c>
      <c r="O19" s="62">
        <v>2.3199999999999998</v>
      </c>
      <c r="P19" s="62">
        <v>0.37</v>
      </c>
      <c r="Q19" s="62">
        <v>0.81</v>
      </c>
      <c r="R19" s="62"/>
      <c r="S19" s="62"/>
      <c r="T19" s="62"/>
      <c r="U19" s="62"/>
      <c r="V19" s="62"/>
      <c r="W19" s="62"/>
      <c r="X19" s="62"/>
      <c r="Y19" s="62"/>
      <c r="Z19" s="62">
        <v>0.7</v>
      </c>
      <c r="AA19" s="62"/>
      <c r="AB19" s="69"/>
      <c r="AC19" s="69"/>
      <c r="AD19" s="71"/>
      <c r="AE19" s="65">
        <f t="shared" si="1"/>
        <v>20.04</v>
      </c>
      <c r="AF19" s="65">
        <f t="shared" si="2"/>
        <v>18.759999999999998</v>
      </c>
      <c r="AG19" s="63">
        <f t="shared" si="3"/>
        <v>13.15</v>
      </c>
      <c r="AH19" s="64">
        <v>6.16</v>
      </c>
      <c r="AI19" s="64"/>
      <c r="AJ19" s="64">
        <v>4.29</v>
      </c>
      <c r="AK19" s="64">
        <v>2.94</v>
      </c>
      <c r="AL19" s="64">
        <v>-0.24</v>
      </c>
      <c r="AM19" s="65">
        <f t="shared" si="4"/>
        <v>33.19</v>
      </c>
      <c r="AN19" s="65">
        <f t="shared" si="5"/>
        <v>38.229999999999997</v>
      </c>
      <c r="AO19" s="70"/>
      <c r="AP19" s="58">
        <v>1.0776229746340371</v>
      </c>
      <c r="AQ19" s="58">
        <v>0.36034137445524633</v>
      </c>
      <c r="AR19" s="58">
        <v>0</v>
      </c>
      <c r="AS19" s="58">
        <v>0.34735200804559163</v>
      </c>
    </row>
    <row r="20" spans="1:45" ht="18.75">
      <c r="A20" s="61">
        <f t="shared" si="0"/>
        <v>13</v>
      </c>
      <c r="B20" s="60" t="s">
        <v>18</v>
      </c>
      <c r="C20" s="66" t="s">
        <v>3</v>
      </c>
      <c r="D20" s="62">
        <v>5.04</v>
      </c>
      <c r="E20" s="62">
        <v>5.88</v>
      </c>
      <c r="F20" s="62">
        <v>1.33</v>
      </c>
      <c r="G20" s="62">
        <v>3.06</v>
      </c>
      <c r="H20" s="62">
        <v>3.29</v>
      </c>
      <c r="I20" s="62">
        <v>3.06</v>
      </c>
      <c r="J20" s="62"/>
      <c r="K20" s="62"/>
      <c r="L20" s="62"/>
      <c r="M20" s="62"/>
      <c r="N20" s="62">
        <v>0.11</v>
      </c>
      <c r="O20" s="62">
        <v>3.22</v>
      </c>
      <c r="P20" s="62">
        <v>0.37</v>
      </c>
      <c r="Q20" s="62">
        <v>0.69</v>
      </c>
      <c r="R20" s="62"/>
      <c r="S20" s="62"/>
      <c r="T20" s="62">
        <v>0.5</v>
      </c>
      <c r="U20" s="62"/>
      <c r="V20" s="62">
        <v>0.36</v>
      </c>
      <c r="W20" s="62">
        <v>0.34</v>
      </c>
      <c r="X20" s="62"/>
      <c r="Y20" s="62">
        <v>0.14000000000000001</v>
      </c>
      <c r="Z20" s="62">
        <v>0.37</v>
      </c>
      <c r="AA20" s="62"/>
      <c r="AB20" s="69"/>
      <c r="AC20" s="69"/>
      <c r="AD20" s="71"/>
      <c r="AE20" s="65">
        <f t="shared" si="1"/>
        <v>22.72</v>
      </c>
      <c r="AF20" s="65">
        <f t="shared" si="2"/>
        <v>21.390000000000004</v>
      </c>
      <c r="AG20" s="63">
        <f t="shared" si="3"/>
        <v>11.19</v>
      </c>
      <c r="AH20" s="64">
        <v>4.12</v>
      </c>
      <c r="AI20" s="64">
        <v>0.8</v>
      </c>
      <c r="AJ20" s="64">
        <v>4.58</v>
      </c>
      <c r="AK20" s="64">
        <v>2.27</v>
      </c>
      <c r="AL20" s="64">
        <v>-0.57999999999999996</v>
      </c>
      <c r="AM20" s="65">
        <f t="shared" si="4"/>
        <v>33.909999999999997</v>
      </c>
      <c r="AN20" s="65">
        <f t="shared" si="5"/>
        <v>38.949999999999996</v>
      </c>
      <c r="AO20" s="70"/>
      <c r="AP20" s="58">
        <v>1.0013541612124386</v>
      </c>
      <c r="AQ20" s="58">
        <v>0.30824825901038488</v>
      </c>
      <c r="AR20" s="58">
        <v>0</v>
      </c>
      <c r="AS20" s="58">
        <v>0.29713671350030546</v>
      </c>
    </row>
    <row r="21" spans="1:45" ht="18.75">
      <c r="A21" s="61">
        <f t="shared" si="0"/>
        <v>14</v>
      </c>
      <c r="B21" s="60" t="s">
        <v>19</v>
      </c>
      <c r="C21" s="66" t="s">
        <v>3</v>
      </c>
      <c r="D21" s="62">
        <v>5.04</v>
      </c>
      <c r="E21" s="62">
        <v>5.24</v>
      </c>
      <c r="F21" s="62">
        <v>1.49</v>
      </c>
      <c r="G21" s="62">
        <v>2.54</v>
      </c>
      <c r="H21" s="62">
        <v>3.49</v>
      </c>
      <c r="I21" s="62">
        <v>2.75</v>
      </c>
      <c r="J21" s="62"/>
      <c r="K21" s="62"/>
      <c r="L21" s="62"/>
      <c r="M21" s="62"/>
      <c r="N21" s="62">
        <v>0.1</v>
      </c>
      <c r="O21" s="62">
        <v>5.03</v>
      </c>
      <c r="P21" s="62">
        <v>0.37</v>
      </c>
      <c r="Q21" s="62">
        <v>0.89</v>
      </c>
      <c r="R21" s="62"/>
      <c r="S21" s="62"/>
      <c r="T21" s="62">
        <v>0.52</v>
      </c>
      <c r="U21" s="62"/>
      <c r="V21" s="62">
        <v>0.37</v>
      </c>
      <c r="W21" s="62">
        <v>0.35</v>
      </c>
      <c r="X21" s="62"/>
      <c r="Y21" s="62">
        <v>0.15</v>
      </c>
      <c r="Z21" s="62">
        <v>0.38</v>
      </c>
      <c r="AA21" s="62"/>
      <c r="AB21" s="69"/>
      <c r="AC21" s="69"/>
      <c r="AD21" s="71"/>
      <c r="AE21" s="65">
        <f t="shared" si="1"/>
        <v>23.67</v>
      </c>
      <c r="AF21" s="65">
        <f t="shared" si="2"/>
        <v>22.18</v>
      </c>
      <c r="AG21" s="63">
        <f t="shared" si="3"/>
        <v>10.234999999999999</v>
      </c>
      <c r="AH21" s="64">
        <v>3.415</v>
      </c>
      <c r="AI21" s="64">
        <v>0.83</v>
      </c>
      <c r="AJ21" s="64">
        <v>4.12</v>
      </c>
      <c r="AK21" s="64">
        <v>2.66</v>
      </c>
      <c r="AL21" s="64">
        <v>-0.79</v>
      </c>
      <c r="AM21" s="65">
        <f t="shared" si="4"/>
        <v>33.905000000000001</v>
      </c>
      <c r="AN21" s="65">
        <f t="shared" si="5"/>
        <v>38.945</v>
      </c>
      <c r="AO21" s="70"/>
      <c r="AP21" s="58">
        <v>0.95558482342756501</v>
      </c>
      <c r="AQ21" s="58">
        <v>0.29467045105824052</v>
      </c>
      <c r="AR21" s="58">
        <v>0</v>
      </c>
      <c r="AS21" s="58">
        <v>0.28404835010000296</v>
      </c>
    </row>
    <row r="22" spans="1:45" ht="15" customHeight="1">
      <c r="A22" s="61">
        <f t="shared" si="0"/>
        <v>15</v>
      </c>
      <c r="B22" s="60" t="s">
        <v>20</v>
      </c>
      <c r="C22" s="66" t="s">
        <v>3</v>
      </c>
      <c r="D22" s="62">
        <v>5.04</v>
      </c>
      <c r="E22" s="62">
        <v>5.1100000000000003</v>
      </c>
      <c r="F22" s="62">
        <v>1.38</v>
      </c>
      <c r="G22" s="62">
        <v>3.12</v>
      </c>
      <c r="H22" s="62">
        <v>3.27</v>
      </c>
      <c r="I22" s="62">
        <v>2.5299999999999998</v>
      </c>
      <c r="J22" s="62"/>
      <c r="K22" s="62"/>
      <c r="L22" s="62"/>
      <c r="M22" s="62"/>
      <c r="N22" s="62">
        <v>0.11</v>
      </c>
      <c r="O22" s="62">
        <v>7.07</v>
      </c>
      <c r="P22" s="62">
        <v>0.37</v>
      </c>
      <c r="Q22" s="62">
        <v>0.53</v>
      </c>
      <c r="R22" s="62"/>
      <c r="S22" s="62"/>
      <c r="T22" s="62">
        <v>0.51</v>
      </c>
      <c r="U22" s="62"/>
      <c r="V22" s="62">
        <v>0.36</v>
      </c>
      <c r="W22" s="62">
        <v>0.35</v>
      </c>
      <c r="X22" s="62"/>
      <c r="Y22" s="62">
        <v>0.15</v>
      </c>
      <c r="Z22" s="62">
        <v>0.37</v>
      </c>
      <c r="AA22" s="62"/>
      <c r="AB22" s="69"/>
      <c r="AC22" s="69"/>
      <c r="AD22" s="71"/>
      <c r="AE22" s="65">
        <f t="shared" si="1"/>
        <v>25.23</v>
      </c>
      <c r="AF22" s="65">
        <f t="shared" si="2"/>
        <v>23.850000000000005</v>
      </c>
      <c r="AG22" s="63">
        <f t="shared" si="3"/>
        <v>8.68</v>
      </c>
      <c r="AH22" s="64">
        <v>2.71</v>
      </c>
      <c r="AI22" s="64">
        <v>0.72</v>
      </c>
      <c r="AJ22" s="64">
        <v>3.8</v>
      </c>
      <c r="AK22" s="64">
        <v>2.11</v>
      </c>
      <c r="AL22" s="64">
        <v>-0.66</v>
      </c>
      <c r="AM22" s="65">
        <f t="shared" si="4"/>
        <v>33.909999999999997</v>
      </c>
      <c r="AN22" s="65">
        <f t="shared" si="5"/>
        <v>38.949999999999996</v>
      </c>
      <c r="AO22" s="70"/>
      <c r="AP22" s="58">
        <v>0.98485323951920278</v>
      </c>
      <c r="AQ22" s="58">
        <v>0.30195254881266492</v>
      </c>
      <c r="AR22" s="58">
        <v>0</v>
      </c>
      <c r="AS22" s="58">
        <v>0.29106794722955148</v>
      </c>
    </row>
    <row r="23" spans="1:45" ht="18.75">
      <c r="A23" s="61">
        <f t="shared" si="0"/>
        <v>16</v>
      </c>
      <c r="B23" s="60" t="s">
        <v>21</v>
      </c>
      <c r="C23" s="66" t="s">
        <v>3</v>
      </c>
      <c r="D23" s="62">
        <v>5.04</v>
      </c>
      <c r="E23" s="62">
        <v>5.73</v>
      </c>
      <c r="F23" s="62">
        <v>1.46</v>
      </c>
      <c r="G23" s="62">
        <v>2.5</v>
      </c>
      <c r="H23" s="62">
        <v>3.47</v>
      </c>
      <c r="I23" s="62">
        <v>2.77</v>
      </c>
      <c r="J23" s="62"/>
      <c r="K23" s="62"/>
      <c r="L23" s="62"/>
      <c r="M23" s="62"/>
      <c r="N23" s="62">
        <v>0.11</v>
      </c>
      <c r="O23" s="62">
        <v>4</v>
      </c>
      <c r="P23" s="62">
        <v>0.37</v>
      </c>
      <c r="Q23" s="62">
        <v>0.9</v>
      </c>
      <c r="R23" s="62"/>
      <c r="S23" s="62"/>
      <c r="T23" s="62">
        <v>0.52</v>
      </c>
      <c r="U23" s="62"/>
      <c r="V23" s="62">
        <v>0.37</v>
      </c>
      <c r="W23" s="62">
        <v>0.36</v>
      </c>
      <c r="X23" s="62"/>
      <c r="Y23" s="62">
        <v>0.15</v>
      </c>
      <c r="Z23" s="62">
        <v>0.38</v>
      </c>
      <c r="AA23" s="62"/>
      <c r="AB23" s="69"/>
      <c r="AC23" s="69"/>
      <c r="AD23" s="71"/>
      <c r="AE23" s="65">
        <f t="shared" si="1"/>
        <v>23.09</v>
      </c>
      <c r="AF23" s="65">
        <f t="shared" si="2"/>
        <v>21.629999999999995</v>
      </c>
      <c r="AG23" s="63">
        <f t="shared" si="3"/>
        <v>10.799999999999999</v>
      </c>
      <c r="AH23" s="64">
        <v>3.84</v>
      </c>
      <c r="AI23" s="64">
        <v>0.9</v>
      </c>
      <c r="AJ23" s="64">
        <v>4.16</v>
      </c>
      <c r="AK23" s="64">
        <v>2.69</v>
      </c>
      <c r="AL23" s="64">
        <v>-0.79</v>
      </c>
      <c r="AM23" s="65">
        <f t="shared" si="4"/>
        <v>33.89</v>
      </c>
      <c r="AN23" s="65">
        <f t="shared" si="5"/>
        <v>38.93</v>
      </c>
      <c r="AO23" s="70"/>
      <c r="AP23" s="58">
        <v>1.0200628016372413</v>
      </c>
      <c r="AQ23" s="58">
        <v>0.32263349990836343</v>
      </c>
      <c r="AR23" s="58">
        <v>0</v>
      </c>
      <c r="AS23" s="58">
        <v>0.31100340399535714</v>
      </c>
    </row>
    <row r="24" spans="1:45" ht="18.75">
      <c r="A24" s="61">
        <f t="shared" si="0"/>
        <v>17</v>
      </c>
      <c r="B24" s="60" t="s">
        <v>22</v>
      </c>
      <c r="C24" s="66" t="s">
        <v>3</v>
      </c>
      <c r="D24" s="62">
        <v>5.04</v>
      </c>
      <c r="E24" s="62">
        <v>5.4</v>
      </c>
      <c r="F24" s="62">
        <v>1.48</v>
      </c>
      <c r="G24" s="62">
        <v>2.23</v>
      </c>
      <c r="H24" s="62">
        <v>3.06</v>
      </c>
      <c r="I24" s="62">
        <v>2.54</v>
      </c>
      <c r="J24" s="62"/>
      <c r="K24" s="62"/>
      <c r="L24" s="62"/>
      <c r="M24" s="62"/>
      <c r="N24" s="62">
        <v>0.1</v>
      </c>
      <c r="O24" s="62">
        <v>6.8</v>
      </c>
      <c r="P24" s="62">
        <v>0.37</v>
      </c>
      <c r="Q24" s="62">
        <v>0.54</v>
      </c>
      <c r="R24" s="62"/>
      <c r="S24" s="62"/>
      <c r="T24" s="62">
        <v>0.37</v>
      </c>
      <c r="U24" s="62"/>
      <c r="V24" s="62">
        <v>0.26</v>
      </c>
      <c r="W24" s="62">
        <v>0.25</v>
      </c>
      <c r="X24" s="62"/>
      <c r="Y24" s="62">
        <v>0.11</v>
      </c>
      <c r="Z24" s="62">
        <v>0.27</v>
      </c>
      <c r="AA24" s="62"/>
      <c r="AB24" s="69"/>
      <c r="AC24" s="69"/>
      <c r="AD24" s="71"/>
      <c r="AE24" s="65">
        <f t="shared" ref="AE24:AE39" si="6">SUM(E24:AD24)</f>
        <v>23.78</v>
      </c>
      <c r="AF24" s="65">
        <f t="shared" si="2"/>
        <v>22.3</v>
      </c>
      <c r="AG24" s="63">
        <f t="shared" si="3"/>
        <v>10.135</v>
      </c>
      <c r="AH24" s="67">
        <v>3.3250000000000002</v>
      </c>
      <c r="AI24" s="64">
        <v>0.84</v>
      </c>
      <c r="AJ24" s="64">
        <v>3.81</v>
      </c>
      <c r="AK24" s="64">
        <v>2.4300000000000002</v>
      </c>
      <c r="AL24" s="64">
        <v>-0.27</v>
      </c>
      <c r="AM24" s="65">
        <f t="shared" ref="AM24:AM40" si="7">AE24+AG24</f>
        <v>33.914999999999999</v>
      </c>
      <c r="AN24" s="65">
        <f t="shared" si="5"/>
        <v>38.954999999999998</v>
      </c>
      <c r="AO24" s="70"/>
      <c r="AP24" s="58">
        <v>1.0122156677272336</v>
      </c>
      <c r="AQ24" s="58">
        <v>0.34613089861553015</v>
      </c>
      <c r="AR24" s="58">
        <v>0</v>
      </c>
      <c r="AS24" s="58">
        <v>0.33365378278441826</v>
      </c>
    </row>
    <row r="25" spans="1:45" ht="18.75">
      <c r="A25" s="61">
        <f t="shared" si="0"/>
        <v>18</v>
      </c>
      <c r="B25" s="60" t="s">
        <v>23</v>
      </c>
      <c r="C25" s="66" t="s">
        <v>3</v>
      </c>
      <c r="D25" s="62">
        <v>5.04</v>
      </c>
      <c r="E25" s="62">
        <v>5.43</v>
      </c>
      <c r="F25" s="62">
        <v>1.4</v>
      </c>
      <c r="G25" s="62">
        <v>2.33</v>
      </c>
      <c r="H25" s="62">
        <v>3.22</v>
      </c>
      <c r="I25" s="62">
        <v>2.59</v>
      </c>
      <c r="J25" s="62"/>
      <c r="K25" s="62"/>
      <c r="L25" s="62"/>
      <c r="M25" s="62"/>
      <c r="N25" s="62">
        <v>0.11</v>
      </c>
      <c r="O25" s="62">
        <v>6.04</v>
      </c>
      <c r="P25" s="62">
        <v>0.37</v>
      </c>
      <c r="Q25" s="62">
        <v>0.45</v>
      </c>
      <c r="R25" s="62"/>
      <c r="S25" s="62"/>
      <c r="T25" s="62">
        <v>0.53</v>
      </c>
      <c r="U25" s="62"/>
      <c r="V25" s="62">
        <v>0.38</v>
      </c>
      <c r="W25" s="62">
        <v>0.36</v>
      </c>
      <c r="X25" s="62"/>
      <c r="Y25" s="62">
        <v>0.15</v>
      </c>
      <c r="Z25" s="62">
        <v>0.39</v>
      </c>
      <c r="AA25" s="62"/>
      <c r="AB25" s="69"/>
      <c r="AC25" s="69"/>
      <c r="AD25" s="71"/>
      <c r="AE25" s="65">
        <f t="shared" si="6"/>
        <v>23.75</v>
      </c>
      <c r="AF25" s="65">
        <f t="shared" si="2"/>
        <v>22.349999999999998</v>
      </c>
      <c r="AG25" s="63">
        <f t="shared" si="3"/>
        <v>10.145</v>
      </c>
      <c r="AH25" s="67">
        <v>3.625</v>
      </c>
      <c r="AI25" s="64">
        <v>0.86</v>
      </c>
      <c r="AJ25" s="64">
        <v>3.88</v>
      </c>
      <c r="AK25" s="64">
        <v>2.5299999999999998</v>
      </c>
      <c r="AL25" s="64">
        <v>-0.75</v>
      </c>
      <c r="AM25" s="65">
        <f t="shared" si="7"/>
        <v>33.894999999999996</v>
      </c>
      <c r="AN25" s="65">
        <f t="shared" si="5"/>
        <v>38.934999999999995</v>
      </c>
      <c r="AO25" s="70"/>
      <c r="AP25" s="58">
        <v>1.0441648142462387</v>
      </c>
      <c r="AQ25" s="58">
        <v>0.33297952962849248</v>
      </c>
      <c r="AR25" s="58">
        <v>0</v>
      </c>
      <c r="AS25" s="58">
        <v>0.32097648633712</v>
      </c>
    </row>
    <row r="26" spans="1:45" ht="18.75">
      <c r="A26" s="61">
        <f t="shared" si="0"/>
        <v>19</v>
      </c>
      <c r="B26" s="60" t="s">
        <v>24</v>
      </c>
      <c r="C26" s="66" t="s">
        <v>3</v>
      </c>
      <c r="D26" s="62">
        <v>5.04</v>
      </c>
      <c r="E26" s="62">
        <v>5.87</v>
      </c>
      <c r="F26" s="62">
        <v>1.38</v>
      </c>
      <c r="G26" s="62">
        <v>2.2799999999999998</v>
      </c>
      <c r="H26" s="62">
        <v>3.19</v>
      </c>
      <c r="I26" s="62">
        <v>2.96</v>
      </c>
      <c r="J26" s="62"/>
      <c r="K26" s="62"/>
      <c r="L26" s="62"/>
      <c r="M26" s="62"/>
      <c r="N26" s="62">
        <v>0.1</v>
      </c>
      <c r="O26" s="62">
        <v>4.0199999999999996</v>
      </c>
      <c r="P26" s="62">
        <v>0.37</v>
      </c>
      <c r="Q26" s="62">
        <v>0.49</v>
      </c>
      <c r="R26" s="62"/>
      <c r="S26" s="62"/>
      <c r="T26" s="62">
        <v>0.37</v>
      </c>
      <c r="U26" s="62"/>
      <c r="V26" s="62">
        <v>0.26</v>
      </c>
      <c r="W26" s="62">
        <v>0.26</v>
      </c>
      <c r="X26" s="62"/>
      <c r="Y26" s="62">
        <v>0.11</v>
      </c>
      <c r="Z26" s="62">
        <v>0.27</v>
      </c>
      <c r="AA26" s="62"/>
      <c r="AB26" s="69"/>
      <c r="AC26" s="69"/>
      <c r="AD26" s="71"/>
      <c r="AE26" s="65">
        <f t="shared" si="6"/>
        <v>21.93</v>
      </c>
      <c r="AF26" s="65">
        <f t="shared" si="2"/>
        <v>20.550000000000004</v>
      </c>
      <c r="AG26" s="63">
        <f t="shared" si="3"/>
        <v>11.98</v>
      </c>
      <c r="AH26" s="64">
        <v>4.37</v>
      </c>
      <c r="AI26" s="64">
        <v>0.91</v>
      </c>
      <c r="AJ26" s="64">
        <v>4.4400000000000004</v>
      </c>
      <c r="AK26" s="64">
        <v>2.4500000000000002</v>
      </c>
      <c r="AL26" s="64">
        <v>-0.19</v>
      </c>
      <c r="AM26" s="65">
        <f t="shared" si="7"/>
        <v>33.909999999999997</v>
      </c>
      <c r="AN26" s="65">
        <f t="shared" si="5"/>
        <v>38.949999999999996</v>
      </c>
      <c r="AO26" s="70"/>
      <c r="AP26" s="58">
        <v>1.0197448760956607</v>
      </c>
      <c r="AQ26" s="58">
        <v>0.34926427875771027</v>
      </c>
      <c r="AR26" s="58">
        <v>0</v>
      </c>
      <c r="AS26" s="58">
        <v>0.33667421274753817</v>
      </c>
    </row>
    <row r="27" spans="1:45" ht="18.75">
      <c r="A27" s="61">
        <f t="shared" si="0"/>
        <v>20</v>
      </c>
      <c r="B27" s="60" t="s">
        <v>25</v>
      </c>
      <c r="C27" s="66" t="s">
        <v>3</v>
      </c>
      <c r="D27" s="62">
        <v>5.04</v>
      </c>
      <c r="E27" s="62">
        <v>5.28</v>
      </c>
      <c r="F27" s="62">
        <v>1.43</v>
      </c>
      <c r="G27" s="62">
        <v>2.35</v>
      </c>
      <c r="H27" s="62">
        <v>3.25</v>
      </c>
      <c r="I27" s="62">
        <v>2.56</v>
      </c>
      <c r="J27" s="62"/>
      <c r="K27" s="62"/>
      <c r="L27" s="62"/>
      <c r="M27" s="62"/>
      <c r="N27" s="62">
        <v>0.11</v>
      </c>
      <c r="O27" s="62">
        <v>5.68</v>
      </c>
      <c r="P27" s="62">
        <v>0.37</v>
      </c>
      <c r="Q27" s="62">
        <v>1.1399999999999999</v>
      </c>
      <c r="R27" s="62"/>
      <c r="S27" s="62"/>
      <c r="T27" s="62">
        <v>0.52</v>
      </c>
      <c r="U27" s="62"/>
      <c r="V27" s="62">
        <v>0.37</v>
      </c>
      <c r="W27" s="62">
        <v>0.36</v>
      </c>
      <c r="X27" s="62"/>
      <c r="Y27" s="62">
        <v>0.15</v>
      </c>
      <c r="Z27" s="62">
        <v>0.38</v>
      </c>
      <c r="AA27" s="62"/>
      <c r="AB27" s="69"/>
      <c r="AC27" s="69"/>
      <c r="AD27" s="71"/>
      <c r="AE27" s="65">
        <f t="shared" si="6"/>
        <v>23.95</v>
      </c>
      <c r="AF27" s="65">
        <f t="shared" si="2"/>
        <v>22.52</v>
      </c>
      <c r="AG27" s="63">
        <f t="shared" si="3"/>
        <v>9.9699999999999989</v>
      </c>
      <c r="AH27" s="64">
        <v>3.55</v>
      </c>
      <c r="AI27" s="64">
        <v>0.8</v>
      </c>
      <c r="AJ27" s="64">
        <v>3.85</v>
      </c>
      <c r="AK27" s="64">
        <v>2.5099999999999998</v>
      </c>
      <c r="AL27" s="64">
        <v>-0.74</v>
      </c>
      <c r="AM27" s="65">
        <f t="shared" si="7"/>
        <v>33.92</v>
      </c>
      <c r="AN27" s="65">
        <f t="shared" si="5"/>
        <v>38.96</v>
      </c>
      <c r="AO27" s="70"/>
      <c r="AP27" s="58">
        <v>1.0159301742623297</v>
      </c>
      <c r="AQ27" s="58">
        <v>0.31779131285675449</v>
      </c>
      <c r="AR27" s="58">
        <v>0</v>
      </c>
      <c r="AS27" s="58">
        <v>0.3063357651535743</v>
      </c>
    </row>
    <row r="28" spans="1:45" ht="18.75">
      <c r="A28" s="61">
        <f t="shared" si="0"/>
        <v>21</v>
      </c>
      <c r="B28" s="60" t="s">
        <v>26</v>
      </c>
      <c r="C28" s="66" t="s">
        <v>3</v>
      </c>
      <c r="D28" s="62">
        <v>5.04</v>
      </c>
      <c r="E28" s="62">
        <v>5.37</v>
      </c>
      <c r="F28" s="62">
        <v>1.34</v>
      </c>
      <c r="G28" s="62">
        <v>3.13</v>
      </c>
      <c r="H28" s="62">
        <v>3.3</v>
      </c>
      <c r="I28" s="62">
        <v>2.56</v>
      </c>
      <c r="J28" s="62"/>
      <c r="K28" s="62"/>
      <c r="L28" s="62"/>
      <c r="M28" s="62"/>
      <c r="N28" s="62">
        <v>0.11</v>
      </c>
      <c r="O28" s="62">
        <v>6.96</v>
      </c>
      <c r="P28" s="62">
        <v>0.37</v>
      </c>
      <c r="Q28" s="62">
        <v>0.69</v>
      </c>
      <c r="R28" s="62"/>
      <c r="S28" s="62"/>
      <c r="T28" s="62">
        <v>0.51</v>
      </c>
      <c r="U28" s="62"/>
      <c r="V28" s="62">
        <v>0.36</v>
      </c>
      <c r="W28" s="62">
        <v>0.35</v>
      </c>
      <c r="X28" s="62"/>
      <c r="Y28" s="62">
        <v>0.15</v>
      </c>
      <c r="Z28" s="62">
        <v>0.38</v>
      </c>
      <c r="AA28" s="62"/>
      <c r="AB28" s="69"/>
      <c r="AC28" s="69"/>
      <c r="AD28" s="71"/>
      <c r="AE28" s="65">
        <f t="shared" si="6"/>
        <v>25.580000000000002</v>
      </c>
      <c r="AF28" s="65">
        <f t="shared" si="2"/>
        <v>24.240000000000002</v>
      </c>
      <c r="AG28" s="63">
        <f t="shared" si="3"/>
        <v>8.3149999999999995</v>
      </c>
      <c r="AH28" s="67">
        <v>2.605</v>
      </c>
      <c r="AI28" s="64">
        <v>0.38</v>
      </c>
      <c r="AJ28" s="64">
        <v>3.84</v>
      </c>
      <c r="AK28" s="64">
        <v>2.13</v>
      </c>
      <c r="AL28" s="64">
        <v>-0.64</v>
      </c>
      <c r="AM28" s="65">
        <f t="shared" si="7"/>
        <v>33.895000000000003</v>
      </c>
      <c r="AN28" s="65">
        <f t="shared" si="5"/>
        <v>38.935000000000002</v>
      </c>
      <c r="AO28" s="70"/>
      <c r="AP28" s="58">
        <v>1.0301787706164813</v>
      </c>
      <c r="AQ28" s="58">
        <v>0.32107037370634378</v>
      </c>
      <c r="AR28" s="58">
        <v>0</v>
      </c>
      <c r="AS28" s="58">
        <v>0.30949662441468578</v>
      </c>
    </row>
    <row r="29" spans="1:45" ht="18.75">
      <c r="A29" s="61">
        <f t="shared" si="0"/>
        <v>22</v>
      </c>
      <c r="B29" s="60" t="s">
        <v>27</v>
      </c>
      <c r="C29" s="66" t="s">
        <v>3</v>
      </c>
      <c r="D29" s="62">
        <v>5.04</v>
      </c>
      <c r="E29" s="62">
        <v>4.4800000000000004</v>
      </c>
      <c r="F29" s="62">
        <v>1.32</v>
      </c>
      <c r="G29" s="62">
        <v>3.08</v>
      </c>
      <c r="H29" s="62">
        <v>3.23</v>
      </c>
      <c r="I29" s="62">
        <v>2.5</v>
      </c>
      <c r="J29" s="62"/>
      <c r="K29" s="62"/>
      <c r="L29" s="62"/>
      <c r="M29" s="62"/>
      <c r="N29" s="62">
        <v>0.11</v>
      </c>
      <c r="O29" s="62">
        <v>7.53</v>
      </c>
      <c r="P29" s="62">
        <v>0.37</v>
      </c>
      <c r="Q29" s="62">
        <v>0.6</v>
      </c>
      <c r="R29" s="62"/>
      <c r="S29" s="62"/>
      <c r="T29" s="62">
        <v>0.5</v>
      </c>
      <c r="U29" s="62"/>
      <c r="V29" s="62">
        <v>0.35</v>
      </c>
      <c r="W29" s="62">
        <v>0.34</v>
      </c>
      <c r="X29" s="62"/>
      <c r="Y29" s="62">
        <v>0.14000000000000001</v>
      </c>
      <c r="Z29" s="62">
        <v>0.37</v>
      </c>
      <c r="AA29" s="62"/>
      <c r="AB29" s="69"/>
      <c r="AC29" s="69"/>
      <c r="AD29" s="71"/>
      <c r="AE29" s="65">
        <f t="shared" si="6"/>
        <v>24.920000000000005</v>
      </c>
      <c r="AF29" s="65">
        <f t="shared" si="2"/>
        <v>23.600000000000005</v>
      </c>
      <c r="AG29" s="63">
        <f t="shared" si="3"/>
        <v>8.99</v>
      </c>
      <c r="AH29" s="64">
        <v>2.74</v>
      </c>
      <c r="AI29" s="64">
        <v>0.88</v>
      </c>
      <c r="AJ29" s="64">
        <v>3.75</v>
      </c>
      <c r="AK29" s="64">
        <v>2.1800000000000002</v>
      </c>
      <c r="AL29" s="64">
        <v>-0.56000000000000005</v>
      </c>
      <c r="AM29" s="65">
        <f t="shared" si="7"/>
        <v>33.910000000000004</v>
      </c>
      <c r="AN29" s="65">
        <f t="shared" si="5"/>
        <v>38.950000000000003</v>
      </c>
      <c r="AO29" s="70"/>
      <c r="AP29" s="58">
        <v>0.95552965104454191</v>
      </c>
      <c r="AQ29" s="58">
        <v>0.27029589098410672</v>
      </c>
      <c r="AR29" s="58">
        <v>0</v>
      </c>
      <c r="AS29" s="58">
        <v>0.26055242932271844</v>
      </c>
    </row>
    <row r="30" spans="1:45" ht="18.75">
      <c r="A30" s="61">
        <f t="shared" si="0"/>
        <v>23</v>
      </c>
      <c r="B30" s="60" t="s">
        <v>28</v>
      </c>
      <c r="C30" s="66" t="s">
        <v>3</v>
      </c>
      <c r="D30" s="62">
        <v>5.04</v>
      </c>
      <c r="E30" s="62">
        <v>5.28</v>
      </c>
      <c r="F30" s="62">
        <v>1.25</v>
      </c>
      <c r="G30" s="62">
        <v>3.02</v>
      </c>
      <c r="H30" s="62">
        <v>3.16</v>
      </c>
      <c r="I30" s="62">
        <v>2.44</v>
      </c>
      <c r="J30" s="62"/>
      <c r="K30" s="62"/>
      <c r="L30" s="62"/>
      <c r="M30" s="62"/>
      <c r="N30" s="62">
        <v>0.11</v>
      </c>
      <c r="O30" s="62">
        <v>7.45</v>
      </c>
      <c r="P30" s="62">
        <v>0.37</v>
      </c>
      <c r="Q30" s="62">
        <v>0.63</v>
      </c>
      <c r="R30" s="62"/>
      <c r="S30" s="62"/>
      <c r="T30" s="62"/>
      <c r="U30" s="62"/>
      <c r="V30" s="62"/>
      <c r="W30" s="62"/>
      <c r="X30" s="62"/>
      <c r="Y30" s="62"/>
      <c r="Z30" s="62">
        <v>0.37</v>
      </c>
      <c r="AA30" s="62"/>
      <c r="AB30" s="69"/>
      <c r="AC30" s="69"/>
      <c r="AD30" s="71"/>
      <c r="AE30" s="65">
        <f t="shared" si="6"/>
        <v>24.080000000000002</v>
      </c>
      <c r="AF30" s="65">
        <f t="shared" si="2"/>
        <v>22.830000000000002</v>
      </c>
      <c r="AG30" s="63">
        <f t="shared" si="3"/>
        <v>8.9939999999999998</v>
      </c>
      <c r="AH30" s="67">
        <v>2.6040000000000001</v>
      </c>
      <c r="AI30" s="64">
        <v>0.69</v>
      </c>
      <c r="AJ30" s="64">
        <v>3.65</v>
      </c>
      <c r="AK30" s="64">
        <v>2.0499999999999998</v>
      </c>
      <c r="AL30" s="64"/>
      <c r="AM30" s="65">
        <f t="shared" si="7"/>
        <v>33.073999999999998</v>
      </c>
      <c r="AN30" s="65">
        <f t="shared" si="5"/>
        <v>38.113999999999997</v>
      </c>
      <c r="AO30" s="70"/>
      <c r="AP30" s="58">
        <v>1.0422911030560222</v>
      </c>
      <c r="AQ30" s="58">
        <v>0.32886363363097876</v>
      </c>
      <c r="AR30" s="58">
        <v>0</v>
      </c>
      <c r="AS30" s="58">
        <v>0.31700895765184339</v>
      </c>
    </row>
    <row r="31" spans="1:45" ht="18.75">
      <c r="A31" s="61">
        <f t="shared" si="0"/>
        <v>24</v>
      </c>
      <c r="B31" s="60" t="s">
        <v>29</v>
      </c>
      <c r="C31" s="66" t="s">
        <v>3</v>
      </c>
      <c r="D31" s="62">
        <v>5.04</v>
      </c>
      <c r="E31" s="62">
        <v>4.53</v>
      </c>
      <c r="F31" s="62">
        <v>1.38</v>
      </c>
      <c r="G31" s="62">
        <v>3.04</v>
      </c>
      <c r="H31" s="62">
        <v>3.19</v>
      </c>
      <c r="I31" s="62">
        <v>2.48</v>
      </c>
      <c r="J31" s="62"/>
      <c r="K31" s="62"/>
      <c r="L31" s="62"/>
      <c r="M31" s="62"/>
      <c r="N31" s="62">
        <v>0.11</v>
      </c>
      <c r="O31" s="62">
        <v>7.55</v>
      </c>
      <c r="P31" s="62">
        <v>0.37</v>
      </c>
      <c r="Q31" s="62">
        <v>0.66</v>
      </c>
      <c r="R31" s="62"/>
      <c r="S31" s="62"/>
      <c r="T31" s="62">
        <v>0.5</v>
      </c>
      <c r="U31" s="62"/>
      <c r="V31" s="62">
        <v>0.36</v>
      </c>
      <c r="W31" s="62">
        <v>0.34</v>
      </c>
      <c r="X31" s="62"/>
      <c r="Y31" s="62">
        <v>0.14000000000000001</v>
      </c>
      <c r="Z31" s="62">
        <v>0.37</v>
      </c>
      <c r="AA31" s="62"/>
      <c r="AB31" s="69"/>
      <c r="AC31" s="69"/>
      <c r="AD31" s="71"/>
      <c r="AE31" s="65">
        <f t="shared" si="6"/>
        <v>25.02</v>
      </c>
      <c r="AF31" s="65">
        <f t="shared" si="2"/>
        <v>23.64</v>
      </c>
      <c r="AG31" s="63">
        <f t="shared" si="3"/>
        <v>8.8849999999999998</v>
      </c>
      <c r="AH31" s="67">
        <v>2.7349999999999999</v>
      </c>
      <c r="AI31" s="64">
        <v>0.89</v>
      </c>
      <c r="AJ31" s="64">
        <v>3.72</v>
      </c>
      <c r="AK31" s="64">
        <v>2.17</v>
      </c>
      <c r="AL31" s="64">
        <v>-0.63</v>
      </c>
      <c r="AM31" s="65">
        <f t="shared" si="7"/>
        <v>33.905000000000001</v>
      </c>
      <c r="AN31" s="65">
        <f t="shared" si="5"/>
        <v>38.945</v>
      </c>
      <c r="AO31" s="70"/>
      <c r="AP31" s="58">
        <v>0.96325417407267111</v>
      </c>
      <c r="AQ31" s="58">
        <v>0.27656066668609225</v>
      </c>
      <c r="AR31" s="58">
        <v>0</v>
      </c>
      <c r="AS31" s="58">
        <v>0.26659137620560036</v>
      </c>
    </row>
    <row r="32" spans="1:45" ht="18.75">
      <c r="A32" s="61">
        <f t="shared" si="0"/>
        <v>25</v>
      </c>
      <c r="B32" s="60" t="s">
        <v>30</v>
      </c>
      <c r="C32" s="66" t="s">
        <v>3</v>
      </c>
      <c r="D32" s="62">
        <v>5.04</v>
      </c>
      <c r="E32" s="62">
        <v>4.37</v>
      </c>
      <c r="F32" s="62">
        <v>0.9</v>
      </c>
      <c r="G32" s="62">
        <v>2.86</v>
      </c>
      <c r="H32" s="62">
        <v>3.07</v>
      </c>
      <c r="I32" s="62">
        <v>2.5</v>
      </c>
      <c r="J32" s="62"/>
      <c r="K32" s="62"/>
      <c r="L32" s="62"/>
      <c r="M32" s="62"/>
      <c r="N32" s="62">
        <v>0.11</v>
      </c>
      <c r="O32" s="62">
        <v>6.06</v>
      </c>
      <c r="P32" s="62">
        <v>0.37</v>
      </c>
      <c r="Q32" s="62">
        <v>0.46</v>
      </c>
      <c r="R32" s="62"/>
      <c r="S32" s="62"/>
      <c r="T32" s="62"/>
      <c r="U32" s="62"/>
      <c r="V32" s="62"/>
      <c r="W32" s="62"/>
      <c r="X32" s="62"/>
      <c r="Y32" s="62"/>
      <c r="Z32" s="62">
        <v>0.67</v>
      </c>
      <c r="AA32" s="62"/>
      <c r="AB32" s="69"/>
      <c r="AC32" s="69"/>
      <c r="AD32" s="71"/>
      <c r="AE32" s="65">
        <f t="shared" si="6"/>
        <v>21.370000000000005</v>
      </c>
      <c r="AF32" s="65">
        <f t="shared" si="2"/>
        <v>20.470000000000002</v>
      </c>
      <c r="AG32" s="63">
        <f t="shared" si="3"/>
        <v>11.645</v>
      </c>
      <c r="AH32" s="67">
        <v>5.2750000000000004</v>
      </c>
      <c r="AI32" s="64"/>
      <c r="AJ32" s="64">
        <v>3.75</v>
      </c>
      <c r="AK32" s="64">
        <v>2.62</v>
      </c>
      <c r="AL32" s="64"/>
      <c r="AM32" s="65">
        <f t="shared" si="7"/>
        <v>33.015000000000001</v>
      </c>
      <c r="AN32" s="65">
        <f t="shared" si="5"/>
        <v>38.055</v>
      </c>
      <c r="AO32" s="70"/>
      <c r="AP32" s="58">
        <v>1.0421617958492162</v>
      </c>
      <c r="AQ32" s="58">
        <v>0.33933728081321474</v>
      </c>
      <c r="AR32" s="58">
        <v>0</v>
      </c>
      <c r="AS32" s="58">
        <v>0.32710505717916138</v>
      </c>
    </row>
    <row r="34" spans="1:45" ht="18.75">
      <c r="A34" s="61">
        <v>27</v>
      </c>
      <c r="B34" s="60" t="s">
        <v>32</v>
      </c>
      <c r="C34" s="66" t="s">
        <v>3</v>
      </c>
      <c r="D34" s="62">
        <v>5.04</v>
      </c>
      <c r="E34" s="62">
        <v>5.17</v>
      </c>
      <c r="F34" s="62">
        <v>1.43</v>
      </c>
      <c r="G34" s="62">
        <v>2.61</v>
      </c>
      <c r="H34" s="62">
        <v>3.61</v>
      </c>
      <c r="I34" s="62">
        <v>2.82</v>
      </c>
      <c r="J34" s="62"/>
      <c r="K34" s="62"/>
      <c r="L34" s="62"/>
      <c r="M34" s="62"/>
      <c r="N34" s="62">
        <v>0.11</v>
      </c>
      <c r="O34" s="62">
        <v>5.39</v>
      </c>
      <c r="P34" s="62">
        <v>0.37</v>
      </c>
      <c r="Q34" s="62">
        <v>0.94</v>
      </c>
      <c r="R34" s="62"/>
      <c r="S34" s="62"/>
      <c r="T34" s="62">
        <v>0.43</v>
      </c>
      <c r="U34" s="62">
        <v>0.26</v>
      </c>
      <c r="V34" s="62">
        <v>0.37</v>
      </c>
      <c r="W34" s="62">
        <v>0.35</v>
      </c>
      <c r="X34" s="62">
        <v>0.26</v>
      </c>
      <c r="Y34" s="62">
        <v>0.15</v>
      </c>
      <c r="Z34" s="62">
        <v>0.19</v>
      </c>
      <c r="AA34" s="62"/>
      <c r="AB34" s="69"/>
      <c r="AC34" s="69"/>
      <c r="AD34" s="71"/>
      <c r="AE34" s="65">
        <f t="shared" si="6"/>
        <v>24.460000000000004</v>
      </c>
      <c r="AF34" s="65">
        <f t="shared" si="2"/>
        <v>23.030000000000005</v>
      </c>
      <c r="AG34" s="63">
        <f t="shared" ref="AG34:AG40" si="8">AH34+AI34+AL34+AJ34+AK34</f>
        <v>9.8000000000000007</v>
      </c>
      <c r="AH34" s="64">
        <v>3.48</v>
      </c>
      <c r="AI34" s="64">
        <v>0.7</v>
      </c>
      <c r="AJ34" s="64">
        <v>4.2300000000000004</v>
      </c>
      <c r="AK34" s="64">
        <v>2.02</v>
      </c>
      <c r="AL34" s="64">
        <v>-0.63</v>
      </c>
      <c r="AM34" s="65">
        <f t="shared" si="7"/>
        <v>34.260000000000005</v>
      </c>
      <c r="AN34" s="65">
        <f t="shared" si="5"/>
        <v>39.300000000000004</v>
      </c>
      <c r="AO34" s="70"/>
      <c r="AP34" s="58">
        <v>0.9646039797578706</v>
      </c>
      <c r="AQ34" s="58">
        <v>0.12522144710325578</v>
      </c>
      <c r="AR34" s="58">
        <v>0.43235648121333348</v>
      </c>
      <c r="AS34" s="58">
        <v>0.24141508128200154</v>
      </c>
    </row>
    <row r="35" spans="1:45" ht="18.75">
      <c r="A35" s="61">
        <f t="shared" ref="A35:A40" si="9">A34+1</f>
        <v>28</v>
      </c>
      <c r="B35" s="60" t="s">
        <v>33</v>
      </c>
      <c r="C35" s="66" t="s">
        <v>3</v>
      </c>
      <c r="D35" s="62">
        <v>5.04</v>
      </c>
      <c r="E35" s="62">
        <v>6.85</v>
      </c>
      <c r="F35" s="62">
        <v>1.69</v>
      </c>
      <c r="G35" s="62">
        <v>2.3199999999999998</v>
      </c>
      <c r="H35" s="62">
        <v>2.5</v>
      </c>
      <c r="I35" s="62">
        <v>1.4</v>
      </c>
      <c r="J35" s="62"/>
      <c r="K35" s="62"/>
      <c r="L35" s="62"/>
      <c r="M35" s="62"/>
      <c r="N35" s="62">
        <v>0.12</v>
      </c>
      <c r="O35" s="62">
        <v>5.69</v>
      </c>
      <c r="P35" s="62">
        <v>0.37</v>
      </c>
      <c r="Q35" s="62">
        <v>1.53</v>
      </c>
      <c r="R35" s="62"/>
      <c r="S35" s="62"/>
      <c r="T35" s="62">
        <v>0.27</v>
      </c>
      <c r="U35" s="62">
        <v>0.17</v>
      </c>
      <c r="V35" s="62">
        <v>0.23</v>
      </c>
      <c r="W35" s="62">
        <v>0.22</v>
      </c>
      <c r="X35" s="62">
        <v>0.16</v>
      </c>
      <c r="Y35" s="62">
        <v>0.09</v>
      </c>
      <c r="Z35" s="62">
        <v>0.24</v>
      </c>
      <c r="AA35" s="62">
        <v>1.65</v>
      </c>
      <c r="AB35" s="69"/>
      <c r="AC35" s="69"/>
      <c r="AD35" s="71"/>
      <c r="AE35" s="65">
        <f t="shared" si="6"/>
        <v>25.5</v>
      </c>
      <c r="AF35" s="65">
        <f t="shared" si="2"/>
        <v>22.16</v>
      </c>
      <c r="AG35" s="63">
        <f t="shared" si="8"/>
        <v>8.7449999999999992</v>
      </c>
      <c r="AH35" s="67">
        <v>4.7850000000000001</v>
      </c>
      <c r="AI35" s="64">
        <v>1.55</v>
      </c>
      <c r="AJ35" s="64">
        <v>2.09</v>
      </c>
      <c r="AK35" s="64">
        <v>2.2599999999999998</v>
      </c>
      <c r="AL35" s="64">
        <v>-1.94</v>
      </c>
      <c r="AM35" s="65">
        <f t="shared" si="7"/>
        <v>34.244999999999997</v>
      </c>
      <c r="AN35" s="65">
        <f t="shared" si="5"/>
        <v>39.284999999999997</v>
      </c>
      <c r="AO35" s="70"/>
      <c r="AP35" s="58">
        <v>1.2927593897828522</v>
      </c>
      <c r="AQ35" s="58">
        <v>0.22756684157531779</v>
      </c>
      <c r="AR35" s="58">
        <v>0.78572801337462261</v>
      </c>
      <c r="AS35" s="58">
        <v>0.43872730132796334</v>
      </c>
    </row>
    <row r="36" spans="1:45" ht="18.75">
      <c r="A36" s="61">
        <f t="shared" si="9"/>
        <v>29</v>
      </c>
      <c r="B36" s="60" t="s">
        <v>34</v>
      </c>
      <c r="C36" s="66" t="s">
        <v>3</v>
      </c>
      <c r="D36" s="62">
        <v>5.04</v>
      </c>
      <c r="E36" s="62">
        <v>5.89</v>
      </c>
      <c r="F36" s="62">
        <v>1.1200000000000001</v>
      </c>
      <c r="G36" s="62">
        <v>3.3</v>
      </c>
      <c r="H36" s="62">
        <v>3.56</v>
      </c>
      <c r="I36" s="62">
        <v>3</v>
      </c>
      <c r="J36" s="62"/>
      <c r="K36" s="62"/>
      <c r="L36" s="62"/>
      <c r="M36" s="62"/>
      <c r="N36" s="62">
        <v>0.11</v>
      </c>
      <c r="O36" s="62">
        <v>3.98</v>
      </c>
      <c r="P36" s="62">
        <v>0.37</v>
      </c>
      <c r="Q36" s="62">
        <v>0.67</v>
      </c>
      <c r="R36" s="62"/>
      <c r="S36" s="62"/>
      <c r="T36" s="62">
        <v>0.5</v>
      </c>
      <c r="U36" s="62"/>
      <c r="V36" s="62">
        <v>0.36</v>
      </c>
      <c r="W36" s="62">
        <v>0.35</v>
      </c>
      <c r="X36" s="62"/>
      <c r="Y36" s="62">
        <v>0.14000000000000001</v>
      </c>
      <c r="Z36" s="62">
        <v>0.37</v>
      </c>
      <c r="AA36" s="62"/>
      <c r="AB36" s="69"/>
      <c r="AC36" s="69"/>
      <c r="AD36" s="71"/>
      <c r="AE36" s="65">
        <f t="shared" si="6"/>
        <v>23.720000000000002</v>
      </c>
      <c r="AF36" s="65">
        <f t="shared" si="2"/>
        <v>22.600000000000005</v>
      </c>
      <c r="AG36" s="63">
        <f t="shared" si="8"/>
        <v>10.175000000000001</v>
      </c>
      <c r="AH36" s="67">
        <v>3.7650000000000001</v>
      </c>
      <c r="AI36" s="64">
        <v>0.35</v>
      </c>
      <c r="AJ36" s="64">
        <v>4.5</v>
      </c>
      <c r="AK36" s="64">
        <v>1.96</v>
      </c>
      <c r="AL36" s="64">
        <v>-0.4</v>
      </c>
      <c r="AM36" s="65">
        <f t="shared" si="7"/>
        <v>33.895000000000003</v>
      </c>
      <c r="AN36" s="65">
        <f t="shared" si="5"/>
        <v>38.935000000000002</v>
      </c>
      <c r="AO36" s="70"/>
      <c r="AP36" s="58">
        <v>1.0434331374853114</v>
      </c>
      <c r="AQ36" s="58">
        <v>0.31885170387779083</v>
      </c>
      <c r="AR36" s="58">
        <v>0</v>
      </c>
      <c r="AS36" s="58">
        <v>0.30735793184488835</v>
      </c>
    </row>
    <row r="37" spans="1:45" ht="18.75">
      <c r="A37" s="61">
        <f t="shared" si="9"/>
        <v>30</v>
      </c>
      <c r="B37" s="60" t="s">
        <v>35</v>
      </c>
      <c r="C37" s="66" t="s">
        <v>3</v>
      </c>
      <c r="D37" s="62">
        <v>5.04</v>
      </c>
      <c r="E37" s="62">
        <v>4.9800000000000004</v>
      </c>
      <c r="F37" s="62">
        <v>1.27</v>
      </c>
      <c r="G37" s="62">
        <v>3.12</v>
      </c>
      <c r="H37" s="62">
        <v>3.28</v>
      </c>
      <c r="I37" s="62">
        <v>2.5099999999999998</v>
      </c>
      <c r="J37" s="62"/>
      <c r="K37" s="62"/>
      <c r="L37" s="62"/>
      <c r="M37" s="62"/>
      <c r="N37" s="62">
        <v>0.11</v>
      </c>
      <c r="O37" s="62">
        <v>7.22</v>
      </c>
      <c r="P37" s="62">
        <v>0.37</v>
      </c>
      <c r="Q37" s="62">
        <v>1.1200000000000001</v>
      </c>
      <c r="R37" s="62"/>
      <c r="S37" s="62"/>
      <c r="T37" s="62">
        <v>0.51</v>
      </c>
      <c r="U37" s="62"/>
      <c r="V37" s="62"/>
      <c r="W37" s="62">
        <v>0.35</v>
      </c>
      <c r="X37" s="62"/>
      <c r="Y37" s="62"/>
      <c r="Z37" s="62">
        <v>0.19</v>
      </c>
      <c r="AA37" s="62"/>
      <c r="AB37" s="69"/>
      <c r="AC37" s="69"/>
      <c r="AD37" s="71"/>
      <c r="AE37" s="65">
        <f t="shared" si="6"/>
        <v>25.030000000000005</v>
      </c>
      <c r="AF37" s="65">
        <f t="shared" si="2"/>
        <v>23.760000000000005</v>
      </c>
      <c r="AG37" s="63">
        <f t="shared" si="8"/>
        <v>8.5149999999999988</v>
      </c>
      <c r="AH37" s="67">
        <v>2.5249999999999999</v>
      </c>
      <c r="AI37" s="64">
        <v>0.34</v>
      </c>
      <c r="AJ37" s="64">
        <v>3.77</v>
      </c>
      <c r="AK37" s="64">
        <v>2.1</v>
      </c>
      <c r="AL37" s="64">
        <v>-0.22</v>
      </c>
      <c r="AM37" s="65">
        <f t="shared" si="7"/>
        <v>33.545000000000002</v>
      </c>
      <c r="AN37" s="65">
        <f t="shared" si="5"/>
        <v>38.585000000000001</v>
      </c>
      <c r="AO37" s="70"/>
      <c r="AP37" s="58">
        <v>1.0119884304350393</v>
      </c>
      <c r="AQ37" s="58">
        <v>0.3006967735080574</v>
      </c>
      <c r="AR37" s="58">
        <v>0</v>
      </c>
      <c r="AS37" s="58">
        <v>0.28985743934832653</v>
      </c>
    </row>
    <row r="38" spans="1:45" ht="18.75">
      <c r="A38" s="61">
        <f t="shared" si="9"/>
        <v>31</v>
      </c>
      <c r="B38" s="60" t="s">
        <v>36</v>
      </c>
      <c r="C38" s="66" t="s">
        <v>3</v>
      </c>
      <c r="D38" s="62">
        <v>5.04</v>
      </c>
      <c r="E38" s="62">
        <v>5.87</v>
      </c>
      <c r="F38" s="62">
        <v>1.06</v>
      </c>
      <c r="G38" s="62">
        <v>3.11</v>
      </c>
      <c r="H38" s="62">
        <v>3.36</v>
      </c>
      <c r="I38" s="62">
        <v>3.11</v>
      </c>
      <c r="J38" s="62"/>
      <c r="K38" s="62"/>
      <c r="L38" s="62"/>
      <c r="M38" s="62"/>
      <c r="N38" s="62">
        <v>0.11</v>
      </c>
      <c r="O38" s="62">
        <v>2.99</v>
      </c>
      <c r="P38" s="62">
        <v>0.37</v>
      </c>
      <c r="Q38" s="62">
        <v>0.56000000000000005</v>
      </c>
      <c r="R38" s="62"/>
      <c r="S38" s="62"/>
      <c r="T38" s="62">
        <v>0.5</v>
      </c>
      <c r="U38" s="62"/>
      <c r="V38" s="62">
        <v>0.35</v>
      </c>
      <c r="W38" s="62">
        <v>0.34</v>
      </c>
      <c r="X38" s="62"/>
      <c r="Y38" s="62">
        <v>0.14000000000000001</v>
      </c>
      <c r="Z38" s="62">
        <v>0.37</v>
      </c>
      <c r="AA38" s="62"/>
      <c r="AB38" s="69"/>
      <c r="AC38" s="69"/>
      <c r="AD38" s="71"/>
      <c r="AE38" s="65">
        <f t="shared" si="6"/>
        <v>22.240000000000002</v>
      </c>
      <c r="AF38" s="65">
        <f t="shared" si="2"/>
        <v>21.18</v>
      </c>
      <c r="AG38" s="63">
        <f t="shared" si="8"/>
        <v>11.664999999999999</v>
      </c>
      <c r="AH38" s="67">
        <v>4.3849999999999998</v>
      </c>
      <c r="AI38" s="64">
        <v>0.8</v>
      </c>
      <c r="AJ38" s="64">
        <v>4.66</v>
      </c>
      <c r="AK38" s="64">
        <v>2.12</v>
      </c>
      <c r="AL38" s="64">
        <v>-0.3</v>
      </c>
      <c r="AM38" s="65">
        <f t="shared" si="7"/>
        <v>33.905000000000001</v>
      </c>
      <c r="AN38" s="65">
        <f t="shared" si="5"/>
        <v>38.945</v>
      </c>
      <c r="AO38" s="70"/>
      <c r="AP38" s="58">
        <v>0.99116279878313773</v>
      </c>
      <c r="AQ38" s="58">
        <v>0.30345739765319424</v>
      </c>
      <c r="AR38" s="58">
        <v>0</v>
      </c>
      <c r="AS38" s="58">
        <v>0.29251855019556711</v>
      </c>
    </row>
    <row r="39" spans="1:45" ht="18.75">
      <c r="A39" s="61">
        <f t="shared" si="9"/>
        <v>32</v>
      </c>
      <c r="B39" s="60" t="s">
        <v>37</v>
      </c>
      <c r="C39" s="66" t="s">
        <v>3</v>
      </c>
      <c r="D39" s="62">
        <v>5.04</v>
      </c>
      <c r="E39" s="62">
        <v>5.03</v>
      </c>
      <c r="F39" s="62">
        <v>1.21</v>
      </c>
      <c r="G39" s="62">
        <v>3.06</v>
      </c>
      <c r="H39" s="62">
        <v>3.22</v>
      </c>
      <c r="I39" s="62">
        <v>2.4500000000000002</v>
      </c>
      <c r="J39" s="62"/>
      <c r="K39" s="62"/>
      <c r="L39" s="62"/>
      <c r="M39" s="62"/>
      <c r="N39" s="62">
        <v>0.11</v>
      </c>
      <c r="O39" s="62">
        <v>7.78</v>
      </c>
      <c r="P39" s="62">
        <v>0.37</v>
      </c>
      <c r="Q39" s="62">
        <v>0.7</v>
      </c>
      <c r="R39" s="62"/>
      <c r="S39" s="62"/>
      <c r="T39" s="62">
        <v>0.5</v>
      </c>
      <c r="U39" s="62"/>
      <c r="V39" s="62">
        <v>0.36</v>
      </c>
      <c r="W39" s="62">
        <v>0.34</v>
      </c>
      <c r="X39" s="62"/>
      <c r="Y39" s="62">
        <v>0.14000000000000001</v>
      </c>
      <c r="Z39" s="62">
        <v>0.37</v>
      </c>
      <c r="AA39" s="62"/>
      <c r="AB39" s="69"/>
      <c r="AC39" s="69"/>
      <c r="AD39" s="71"/>
      <c r="AE39" s="65">
        <f t="shared" si="6"/>
        <v>25.640000000000004</v>
      </c>
      <c r="AF39" s="65">
        <f t="shared" si="2"/>
        <v>24.430000000000003</v>
      </c>
      <c r="AG39" s="63">
        <f t="shared" si="8"/>
        <v>8.2749999999999986</v>
      </c>
      <c r="AH39" s="64">
        <v>2.5950000000000002</v>
      </c>
      <c r="AI39" s="64">
        <v>0.42</v>
      </c>
      <c r="AJ39" s="64">
        <v>3.67</v>
      </c>
      <c r="AK39" s="64">
        <v>2.0499999999999998</v>
      </c>
      <c r="AL39" s="64">
        <v>-0.46</v>
      </c>
      <c r="AM39" s="65">
        <f t="shared" si="7"/>
        <v>33.915000000000006</v>
      </c>
      <c r="AN39" s="65">
        <f t="shared" si="5"/>
        <v>38.955000000000005</v>
      </c>
      <c r="AO39" s="70"/>
      <c r="AP39" s="58">
        <v>0.99008550205427015</v>
      </c>
      <c r="AQ39" s="58">
        <v>0.31198680124132855</v>
      </c>
      <c r="AR39" s="58">
        <v>0</v>
      </c>
      <c r="AS39" s="58">
        <v>0.30074049103777167</v>
      </c>
    </row>
    <row r="40" spans="1:45" ht="21" customHeight="1">
      <c r="A40" s="61">
        <f t="shared" si="9"/>
        <v>33</v>
      </c>
      <c r="B40" s="60" t="s">
        <v>38</v>
      </c>
      <c r="C40" s="66" t="s">
        <v>3</v>
      </c>
      <c r="D40" s="62">
        <v>5.04</v>
      </c>
      <c r="E40" s="62">
        <v>5.29</v>
      </c>
      <c r="F40" s="62">
        <v>0.76</v>
      </c>
      <c r="G40" s="62">
        <v>3.04</v>
      </c>
      <c r="H40" s="62">
        <v>3.31</v>
      </c>
      <c r="I40" s="62">
        <v>3</v>
      </c>
      <c r="J40" s="62"/>
      <c r="K40" s="62"/>
      <c r="L40" s="62"/>
      <c r="M40" s="62"/>
      <c r="N40" s="62">
        <v>0.11</v>
      </c>
      <c r="O40" s="62">
        <v>2.38</v>
      </c>
      <c r="P40" s="62">
        <v>0.37</v>
      </c>
      <c r="Q40" s="62">
        <v>0.48</v>
      </c>
      <c r="R40" s="62"/>
      <c r="S40" s="62"/>
      <c r="T40" s="62"/>
      <c r="U40" s="62"/>
      <c r="V40" s="62"/>
      <c r="W40" s="62"/>
      <c r="X40" s="62"/>
      <c r="Y40" s="62"/>
      <c r="Z40" s="62">
        <v>0.68</v>
      </c>
      <c r="AA40" s="62"/>
      <c r="AB40" s="69"/>
      <c r="AC40" s="69"/>
      <c r="AD40" s="71"/>
      <c r="AE40" s="65">
        <f>SUM(E40:AD40)</f>
        <v>19.420000000000002</v>
      </c>
      <c r="AF40" s="65">
        <f t="shared" si="2"/>
        <v>18.66</v>
      </c>
      <c r="AG40" s="63">
        <f t="shared" si="8"/>
        <v>13.459999999999999</v>
      </c>
      <c r="AH40" s="64">
        <v>6.61</v>
      </c>
      <c r="AI40" s="64"/>
      <c r="AJ40" s="64">
        <v>4.5</v>
      </c>
      <c r="AK40" s="64">
        <v>2.35</v>
      </c>
      <c r="AL40" s="64"/>
      <c r="AM40" s="65">
        <f t="shared" si="7"/>
        <v>32.880000000000003</v>
      </c>
      <c r="AN40" s="65">
        <f t="shared" si="5"/>
        <v>37.92</v>
      </c>
      <c r="AO40" s="70"/>
      <c r="AP40" s="58">
        <v>1.032005144694534</v>
      </c>
      <c r="AQ40" s="58">
        <v>0.32970744694533766</v>
      </c>
      <c r="AR40" s="58">
        <v>0</v>
      </c>
      <c r="AS40" s="58">
        <v>0.31782235369774919</v>
      </c>
    </row>
    <row r="41" spans="1:45" ht="15.75" hidden="1" thickBot="1">
      <c r="A41" s="27"/>
      <c r="B41" s="28" t="s">
        <v>39</v>
      </c>
      <c r="C41" s="29"/>
      <c r="D41" s="30" t="e">
        <f>#REF!+#REF!</f>
        <v>#REF!</v>
      </c>
      <c r="E41" s="31" t="e">
        <f>#REF!+#REF!</f>
        <v>#REF!</v>
      </c>
      <c r="F41" s="30" t="e">
        <f>#REF!+#REF!</f>
        <v>#REF!</v>
      </c>
      <c r="G41" s="30" t="e">
        <f>#REF!+#REF!</f>
        <v>#REF!</v>
      </c>
      <c r="H41" s="30" t="e">
        <f>#REF!+#REF!</f>
        <v>#REF!</v>
      </c>
      <c r="I41" s="30" t="e">
        <f>#REF!+#REF!</f>
        <v>#REF!</v>
      </c>
      <c r="J41" s="30" t="e">
        <f>#REF!+#REF!</f>
        <v>#REF!</v>
      </c>
      <c r="K41" s="30" t="e">
        <f>#REF!+#REF!</f>
        <v>#REF!</v>
      </c>
      <c r="L41" s="30" t="e">
        <f>#REF!+#REF!</f>
        <v>#REF!</v>
      </c>
      <c r="M41" s="30" t="e">
        <f>#REF!+#REF!</f>
        <v>#REF!</v>
      </c>
      <c r="N41" s="30" t="e">
        <f>#REF!+#REF!</f>
        <v>#REF!</v>
      </c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 t="e">
        <f>#REF!+#REF!</f>
        <v>#REF!</v>
      </c>
      <c r="AA41" s="30"/>
      <c r="AB41" s="32"/>
      <c r="AC41" s="32"/>
      <c r="AD41" s="31" t="e">
        <f>#REF!+#REF!</f>
        <v>#REF!</v>
      </c>
      <c r="AE41" s="31" t="e">
        <f>#REF!+#REF!</f>
        <v>#REF!</v>
      </c>
      <c r="AF41" s="33" t="e">
        <f>E41+G41+H41+I41+J41+L41+N41+O41+P41+Q41+T41+U41+V41+W41+X41+Y41+Z41+#REF!+#REF!+#REF!+AD41</f>
        <v>#REF!</v>
      </c>
      <c r="AG41" s="34" t="e">
        <f>#REF!+#REF!</f>
        <v>#REF!</v>
      </c>
      <c r="AH41" s="41"/>
      <c r="AI41" s="42"/>
      <c r="AJ41" s="42"/>
      <c r="AK41" s="42"/>
      <c r="AL41" s="42"/>
      <c r="AM41" s="42"/>
      <c r="AN41" s="43"/>
      <c r="AO41" s="11"/>
    </row>
    <row r="42" spans="1:45" ht="15.75" hidden="1" thickBot="1">
      <c r="A42" s="19"/>
      <c r="B42" s="20" t="s">
        <v>40</v>
      </c>
      <c r="C42" s="21"/>
      <c r="D42" s="18" t="e">
        <f t="shared" ref="D42:N42" si="10">D41*12</f>
        <v>#REF!</v>
      </c>
      <c r="E42" s="13" t="e">
        <f t="shared" si="10"/>
        <v>#REF!</v>
      </c>
      <c r="F42" s="18" t="e">
        <f t="shared" si="10"/>
        <v>#REF!</v>
      </c>
      <c r="G42" s="18" t="e">
        <f t="shared" si="10"/>
        <v>#REF!</v>
      </c>
      <c r="H42" s="18" t="e">
        <f t="shared" si="10"/>
        <v>#REF!</v>
      </c>
      <c r="I42" s="18" t="e">
        <f t="shared" si="10"/>
        <v>#REF!</v>
      </c>
      <c r="J42" s="18" t="e">
        <f t="shared" si="10"/>
        <v>#REF!</v>
      </c>
      <c r="K42" s="18" t="e">
        <f t="shared" si="10"/>
        <v>#REF!</v>
      </c>
      <c r="L42" s="18" t="e">
        <f t="shared" si="10"/>
        <v>#REF!</v>
      </c>
      <c r="M42" s="18" t="e">
        <f t="shared" si="10"/>
        <v>#REF!</v>
      </c>
      <c r="N42" s="18" t="e">
        <f t="shared" si="10"/>
        <v>#REF!</v>
      </c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 t="e">
        <f>Z41*12</f>
        <v>#REF!</v>
      </c>
      <c r="AA42" s="18"/>
      <c r="AB42" s="14"/>
      <c r="AC42" s="14"/>
      <c r="AD42" s="13" t="e">
        <f>AD41*12</f>
        <v>#REF!</v>
      </c>
      <c r="AE42" s="13" t="e">
        <f>AE41*12</f>
        <v>#REF!</v>
      </c>
      <c r="AF42" s="12" t="e">
        <f>E42+G42+H42+I42+J42+L42+N42+O42+P42+Q42+T42+U42+V42+W42+X42+Y42+Z42+#REF!+#REF!+#REF!+AD42</f>
        <v>#REF!</v>
      </c>
      <c r="AG42" s="15"/>
      <c r="AH42" s="8"/>
      <c r="AI42" s="5"/>
      <c r="AJ42" s="5"/>
      <c r="AK42" s="5"/>
      <c r="AL42" s="5"/>
      <c r="AM42" s="5"/>
      <c r="AN42" s="10"/>
      <c r="AO42" s="11"/>
    </row>
    <row r="43" spans="1:45" ht="15.75" hidden="1" thickBot="1">
      <c r="A43" s="19"/>
      <c r="B43" s="22"/>
      <c r="C43" s="21"/>
      <c r="D43" s="18"/>
      <c r="E43" s="13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4"/>
      <c r="AC43" s="14"/>
      <c r="AD43" s="13"/>
      <c r="AE43" s="13"/>
      <c r="AF43" s="12" t="e">
        <f>E43+G43+H43+I43+J43+L43+N43+O43+P43+Q43+T43+U43+V43+W43+X43+Y43+Z43+#REF!+#REF!+#REF!+AD43</f>
        <v>#REF!</v>
      </c>
      <c r="AG43" s="15"/>
      <c r="AH43" s="8"/>
      <c r="AI43" s="5"/>
      <c r="AJ43" s="5"/>
      <c r="AK43" s="5"/>
      <c r="AL43" s="5"/>
      <c r="AM43" s="5"/>
      <c r="AN43" s="10"/>
      <c r="AO43" s="11"/>
    </row>
    <row r="44" spans="1:45" ht="15.75" hidden="1" thickBot="1">
      <c r="A44" s="19"/>
      <c r="B44" s="20" t="s">
        <v>41</v>
      </c>
      <c r="C44" s="21"/>
      <c r="D44" s="18" t="e">
        <f t="shared" ref="D44:N44" si="11">D41/1.18</f>
        <v>#REF!</v>
      </c>
      <c r="E44" s="13" t="e">
        <f t="shared" si="11"/>
        <v>#REF!</v>
      </c>
      <c r="F44" s="18" t="e">
        <f t="shared" si="11"/>
        <v>#REF!</v>
      </c>
      <c r="G44" s="18" t="e">
        <f t="shared" si="11"/>
        <v>#REF!</v>
      </c>
      <c r="H44" s="18" t="e">
        <f t="shared" si="11"/>
        <v>#REF!</v>
      </c>
      <c r="I44" s="18" t="e">
        <f t="shared" si="11"/>
        <v>#REF!</v>
      </c>
      <c r="J44" s="18" t="e">
        <f t="shared" si="11"/>
        <v>#REF!</v>
      </c>
      <c r="K44" s="18" t="e">
        <f t="shared" si="11"/>
        <v>#REF!</v>
      </c>
      <c r="L44" s="18" t="e">
        <f t="shared" si="11"/>
        <v>#REF!</v>
      </c>
      <c r="M44" s="18" t="e">
        <f t="shared" si="11"/>
        <v>#REF!</v>
      </c>
      <c r="N44" s="18" t="e">
        <f t="shared" si="11"/>
        <v>#REF!</v>
      </c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 t="e">
        <f>Z41/1.18</f>
        <v>#REF!</v>
      </c>
      <c r="AA44" s="18"/>
      <c r="AB44" s="14"/>
      <c r="AC44" s="14"/>
      <c r="AD44" s="13" t="e">
        <f>AD41/1.18</f>
        <v>#REF!</v>
      </c>
      <c r="AE44" s="13" t="e">
        <f>AE41/1.18</f>
        <v>#REF!</v>
      </c>
      <c r="AF44" s="12" t="e">
        <f>E44+G44+H44+I44+J44+L44+N44+O44+P44+Q44+T44+U44+V44+W44+X44+Y44+Z44+#REF!+#REF!+#REF!+AD44</f>
        <v>#REF!</v>
      </c>
      <c r="AG44" s="15"/>
      <c r="AH44" s="8"/>
      <c r="AI44" s="5"/>
      <c r="AJ44" s="5"/>
      <c r="AK44" s="5"/>
      <c r="AL44" s="5"/>
      <c r="AM44" s="5"/>
      <c r="AN44" s="10"/>
      <c r="AO44" s="11"/>
    </row>
    <row r="45" spans="1:45" ht="15.75" hidden="1" thickBot="1">
      <c r="A45" s="19"/>
      <c r="B45" s="20" t="s">
        <v>42</v>
      </c>
      <c r="C45" s="21"/>
      <c r="D45" s="18" t="e">
        <f t="shared" ref="D45:N45" si="12">D42/1.18</f>
        <v>#REF!</v>
      </c>
      <c r="E45" s="13" t="e">
        <f t="shared" si="12"/>
        <v>#REF!</v>
      </c>
      <c r="F45" s="18" t="e">
        <f t="shared" si="12"/>
        <v>#REF!</v>
      </c>
      <c r="G45" s="18" t="e">
        <f t="shared" si="12"/>
        <v>#REF!</v>
      </c>
      <c r="H45" s="18" t="e">
        <f t="shared" si="12"/>
        <v>#REF!</v>
      </c>
      <c r="I45" s="18" t="e">
        <f t="shared" si="12"/>
        <v>#REF!</v>
      </c>
      <c r="J45" s="18" t="e">
        <f t="shared" si="12"/>
        <v>#REF!</v>
      </c>
      <c r="K45" s="18" t="e">
        <f t="shared" si="12"/>
        <v>#REF!</v>
      </c>
      <c r="L45" s="18" t="e">
        <f t="shared" si="12"/>
        <v>#REF!</v>
      </c>
      <c r="M45" s="18" t="e">
        <f t="shared" si="12"/>
        <v>#REF!</v>
      </c>
      <c r="N45" s="18" t="e">
        <f t="shared" si="12"/>
        <v>#REF!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 t="e">
        <f>Z42/1.18</f>
        <v>#REF!</v>
      </c>
      <c r="AA45" s="18"/>
      <c r="AB45" s="14"/>
      <c r="AC45" s="14"/>
      <c r="AD45" s="13" t="e">
        <f>AD42/1.18</f>
        <v>#REF!</v>
      </c>
      <c r="AE45" s="13" t="e">
        <f>AE42/1.18</f>
        <v>#REF!</v>
      </c>
      <c r="AF45" s="12" t="e">
        <f>E45+G45+H45+I45+J45+L45+N45+O45+P45+Q45+T45+U45+V45+W45+X45+Y45+Z45+#REF!+#REF!+#REF!+AD45</f>
        <v>#REF!</v>
      </c>
      <c r="AG45" s="15"/>
      <c r="AH45" s="8"/>
      <c r="AI45" s="5"/>
      <c r="AJ45" s="5"/>
      <c r="AK45" s="5"/>
      <c r="AL45" s="5"/>
      <c r="AM45" s="5"/>
      <c r="AN45" s="10"/>
      <c r="AO45" s="11"/>
    </row>
    <row r="46" spans="1:45" ht="15.75" hidden="1" thickBot="1">
      <c r="A46" s="19"/>
      <c r="B46" s="22"/>
      <c r="C46" s="21"/>
      <c r="D46" s="18"/>
      <c r="E46" s="13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4"/>
      <c r="AC46" s="14"/>
      <c r="AD46" s="13"/>
      <c r="AE46" s="13"/>
      <c r="AF46" s="12" t="e">
        <f>E46+G46+H46+I46+J46+L46+N46+O46+P46+Q46+T46+U46+V46+W46+X46+Y46+Z46+#REF!+#REF!+#REF!+AD46</f>
        <v>#REF!</v>
      </c>
      <c r="AG46" s="15"/>
      <c r="AH46" s="8"/>
      <c r="AI46" s="5"/>
      <c r="AJ46" s="5"/>
      <c r="AK46" s="5"/>
      <c r="AL46" s="5"/>
      <c r="AM46" s="5"/>
      <c r="AN46" s="10"/>
      <c r="AO46" s="11"/>
    </row>
    <row r="47" spans="1:45" ht="15.75" hidden="1" thickBot="1">
      <c r="A47" s="19"/>
      <c r="B47" s="20" t="s">
        <v>47</v>
      </c>
      <c r="C47" s="21"/>
      <c r="D47" s="18" t="e">
        <f t="shared" ref="D47:N47" si="13">D44/1.1</f>
        <v>#REF!</v>
      </c>
      <c r="E47" s="13" t="e">
        <f t="shared" si="13"/>
        <v>#REF!</v>
      </c>
      <c r="F47" s="18" t="e">
        <f t="shared" si="13"/>
        <v>#REF!</v>
      </c>
      <c r="G47" s="18" t="e">
        <f t="shared" si="13"/>
        <v>#REF!</v>
      </c>
      <c r="H47" s="18" t="e">
        <f t="shared" si="13"/>
        <v>#REF!</v>
      </c>
      <c r="I47" s="18" t="e">
        <f t="shared" si="13"/>
        <v>#REF!</v>
      </c>
      <c r="J47" s="18" t="e">
        <f t="shared" si="13"/>
        <v>#REF!</v>
      </c>
      <c r="K47" s="18" t="e">
        <f t="shared" si="13"/>
        <v>#REF!</v>
      </c>
      <c r="L47" s="18" t="e">
        <f t="shared" si="13"/>
        <v>#REF!</v>
      </c>
      <c r="M47" s="18" t="e">
        <f t="shared" si="13"/>
        <v>#REF!</v>
      </c>
      <c r="N47" s="18" t="e">
        <f t="shared" si="13"/>
        <v>#REF!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 t="e">
        <f>Z44/1.1</f>
        <v>#REF!</v>
      </c>
      <c r="AA47" s="18"/>
      <c r="AB47" s="14"/>
      <c r="AC47" s="14"/>
      <c r="AD47" s="13" t="e">
        <f>AD44/1.1</f>
        <v>#REF!</v>
      </c>
      <c r="AE47" s="13" t="e">
        <f>AE44/1.1</f>
        <v>#REF!</v>
      </c>
      <c r="AF47" s="12" t="e">
        <f>E47+G47+H47+I47+J47+L47+N47+O47+P47+Q47+T47+U47+V47+W47+X47+Y47+Z47+#REF!+#REF!+#REF!+AD47</f>
        <v>#REF!</v>
      </c>
      <c r="AG47" s="15"/>
      <c r="AH47" s="8"/>
      <c r="AI47" s="5"/>
      <c r="AJ47" s="5"/>
      <c r="AK47" s="5"/>
      <c r="AL47" s="5"/>
      <c r="AM47" s="5"/>
      <c r="AN47" s="10"/>
      <c r="AO47" s="11"/>
    </row>
    <row r="48" spans="1:45" ht="15.75" hidden="1" thickBot="1">
      <c r="A48" s="19"/>
      <c r="B48" s="20" t="s">
        <v>48</v>
      </c>
      <c r="C48" s="21"/>
      <c r="D48" s="18" t="e">
        <f t="shared" ref="D48:N48" si="14">D47/1.1</f>
        <v>#REF!</v>
      </c>
      <c r="E48" s="13" t="e">
        <f t="shared" si="14"/>
        <v>#REF!</v>
      </c>
      <c r="F48" s="18" t="e">
        <f t="shared" si="14"/>
        <v>#REF!</v>
      </c>
      <c r="G48" s="18" t="e">
        <f t="shared" si="14"/>
        <v>#REF!</v>
      </c>
      <c r="H48" s="18" t="e">
        <f t="shared" si="14"/>
        <v>#REF!</v>
      </c>
      <c r="I48" s="18" t="e">
        <f t="shared" si="14"/>
        <v>#REF!</v>
      </c>
      <c r="J48" s="18" t="e">
        <f t="shared" si="14"/>
        <v>#REF!</v>
      </c>
      <c r="K48" s="18" t="e">
        <f t="shared" si="14"/>
        <v>#REF!</v>
      </c>
      <c r="L48" s="18" t="e">
        <f t="shared" si="14"/>
        <v>#REF!</v>
      </c>
      <c r="M48" s="18" t="e">
        <f t="shared" si="14"/>
        <v>#REF!</v>
      </c>
      <c r="N48" s="18" t="e">
        <f t="shared" si="14"/>
        <v>#REF!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 t="e">
        <f>Z47/1.1</f>
        <v>#REF!</v>
      </c>
      <c r="AA48" s="18"/>
      <c r="AB48" s="14"/>
      <c r="AC48" s="14"/>
      <c r="AD48" s="13" t="e">
        <f>AD47/1.1</f>
        <v>#REF!</v>
      </c>
      <c r="AE48" s="13" t="e">
        <f>AE47/1.1</f>
        <v>#REF!</v>
      </c>
      <c r="AF48" s="12" t="e">
        <f>E48+G48+H48+I48+J48+L48+N48+O48+P48+Q48+T48+U48+V48+W48+X48+Y48+Z48+#REF!+#REF!+#REF!+AD48</f>
        <v>#REF!</v>
      </c>
      <c r="AG48" s="15"/>
      <c r="AH48" s="8"/>
      <c r="AI48" s="5"/>
      <c r="AJ48" s="5"/>
      <c r="AK48" s="5"/>
      <c r="AL48" s="5"/>
      <c r="AM48" s="5"/>
      <c r="AN48" s="10"/>
      <c r="AO48" s="11"/>
    </row>
    <row r="49" spans="1:45" ht="15.75" hidden="1" thickBot="1">
      <c r="A49" s="19"/>
      <c r="B49" s="22"/>
      <c r="C49" s="21"/>
      <c r="D49" s="18"/>
      <c r="E49" s="13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4"/>
      <c r="AC49" s="14"/>
      <c r="AD49" s="13"/>
      <c r="AE49" s="13"/>
      <c r="AF49" s="12" t="e">
        <f>E49+G49+H49+I49+J49+L49+N49+O49+P49+Q49+T49+U49+V49+W49+X49+Y49+Z49+#REF!+#REF!+#REF!+AD49</f>
        <v>#REF!</v>
      </c>
      <c r="AG49" s="15"/>
      <c r="AH49" s="8"/>
      <c r="AI49" s="5"/>
      <c r="AJ49" s="5"/>
      <c r="AK49" s="5"/>
      <c r="AL49" s="5"/>
      <c r="AM49" s="5"/>
      <c r="AN49" s="10"/>
      <c r="AO49" s="11"/>
    </row>
    <row r="50" spans="1:45" ht="15.75" hidden="1" thickBot="1">
      <c r="A50" s="19"/>
      <c r="B50" s="20" t="s">
        <v>45</v>
      </c>
      <c r="C50" s="21"/>
      <c r="D50" s="18"/>
      <c r="E50" s="1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37"/>
      <c r="AB50" s="16"/>
      <c r="AC50" s="16"/>
      <c r="AD50" s="17"/>
      <c r="AE50" s="17"/>
      <c r="AF50" s="12" t="e">
        <f>E50+G50+H50+I50+J50+L50+N50+O50+P50+Q50+T50+U50+V50+W50+X50+Y50+Z50+#REF!+#REF!+#REF!+AD50</f>
        <v>#REF!</v>
      </c>
      <c r="AG50" s="15"/>
      <c r="AH50" s="8"/>
      <c r="AI50" s="5"/>
      <c r="AJ50" s="5"/>
      <c r="AK50" s="5"/>
      <c r="AL50" s="5"/>
      <c r="AM50" s="5"/>
      <c r="AN50" s="10"/>
      <c r="AO50" s="11"/>
    </row>
    <row r="51" spans="1:45" ht="15.75" hidden="1" thickBot="1">
      <c r="A51" s="19"/>
      <c r="B51" s="20" t="s">
        <v>43</v>
      </c>
      <c r="C51" s="21"/>
      <c r="D51" s="18"/>
      <c r="E51" s="13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37"/>
      <c r="AB51" s="16"/>
      <c r="AC51" s="16"/>
      <c r="AD51" s="17"/>
      <c r="AE51" s="17" t="e">
        <f>D47+E47+F47+G47+H47+I47+J47+K47+N47+AD47</f>
        <v>#REF!</v>
      </c>
      <c r="AF51" s="12" t="e">
        <f>E51+G51+H51+I51+J51+L51+N51+O51+P51+Q51+T51+U51+V51+W51+X51+Y51+Z51+#REF!+#REF!+#REF!+AD51</f>
        <v>#REF!</v>
      </c>
      <c r="AG51" s="15"/>
      <c r="AH51" s="8"/>
      <c r="AI51" s="5"/>
      <c r="AJ51" s="5"/>
      <c r="AK51" s="5"/>
      <c r="AL51" s="5"/>
      <c r="AM51" s="5"/>
      <c r="AN51" s="10"/>
      <c r="AO51" s="11"/>
    </row>
    <row r="52" spans="1:45" ht="15.75" hidden="1" thickBot="1">
      <c r="A52" s="19"/>
      <c r="B52" s="20" t="s">
        <v>44</v>
      </c>
      <c r="C52" s="21"/>
      <c r="D52" s="18"/>
      <c r="E52" s="13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37"/>
      <c r="AB52" s="16"/>
      <c r="AC52" s="16"/>
      <c r="AD52" s="17"/>
      <c r="AE52" s="17" t="e">
        <f>AE51*12</f>
        <v>#REF!</v>
      </c>
      <c r="AF52" s="12" t="e">
        <f>E52+G52+H52+I52+J52+L52+N52+O52+P52+Q52+T52+U52+V52+W52+X52+Y52+Z52+#REF!+#REF!+#REF!+AD52</f>
        <v>#REF!</v>
      </c>
      <c r="AG52" s="15"/>
      <c r="AH52" s="8"/>
      <c r="AI52" s="5"/>
      <c r="AJ52" s="5"/>
      <c r="AK52" s="5"/>
      <c r="AL52" s="5"/>
      <c r="AM52" s="5"/>
      <c r="AN52" s="10"/>
      <c r="AO52" s="11"/>
    </row>
    <row r="53" spans="1:45" ht="12.75" hidden="1" customHeight="1" thickBot="1">
      <c r="A53" s="19"/>
      <c r="B53" s="23" t="s">
        <v>46</v>
      </c>
      <c r="C53" s="21"/>
      <c r="D53" s="18"/>
      <c r="E53" s="13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37"/>
      <c r="AB53" s="16"/>
      <c r="AC53" s="16"/>
      <c r="AD53" s="17"/>
      <c r="AE53" s="17"/>
      <c r="AF53" s="12" t="e">
        <f>E53+G53+H53+I53+J53+L53+N53+O53+P53+Q53+T53+U53+V53+W53+X53+Y53+Z53+#REF!+#REF!+#REF!+AD53</f>
        <v>#REF!</v>
      </c>
      <c r="AG53" s="15"/>
      <c r="AH53" s="8"/>
      <c r="AI53" s="5"/>
      <c r="AJ53" s="5"/>
      <c r="AK53" s="5"/>
      <c r="AL53" s="5"/>
      <c r="AM53" s="5"/>
      <c r="AN53" s="10"/>
      <c r="AO53" s="11"/>
    </row>
    <row r="54" spans="1:45" ht="15.75" hidden="1" thickBot="1">
      <c r="A54" s="19"/>
      <c r="B54" s="20" t="s">
        <v>43</v>
      </c>
      <c r="C54" s="24"/>
      <c r="D54" s="18"/>
      <c r="E54" s="13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37"/>
      <c r="AB54" s="16"/>
      <c r="AC54" s="16"/>
      <c r="AD54" s="17" t="e">
        <f>AD47</f>
        <v>#REF!</v>
      </c>
      <c r="AE54" s="17"/>
      <c r="AF54" s="12" t="e">
        <f>E54+G54+H54+I54+J54+L54+N54+O54+P54+Q54+T54+U54+V54+W54+X54+Y54+Z54+#REF!+#REF!+#REF!+AD54</f>
        <v>#REF!</v>
      </c>
      <c r="AG54" s="15"/>
      <c r="AH54" s="8"/>
      <c r="AI54" s="5"/>
      <c r="AJ54" s="5"/>
      <c r="AK54" s="5"/>
      <c r="AL54" s="5"/>
      <c r="AM54" s="5"/>
      <c r="AN54" s="10"/>
      <c r="AO54" s="11"/>
    </row>
    <row r="55" spans="1:45" ht="15" hidden="1">
      <c r="A55" s="19"/>
      <c r="B55" s="20" t="s">
        <v>44</v>
      </c>
      <c r="C55" s="24"/>
      <c r="D55" s="18"/>
      <c r="E55" s="1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37"/>
      <c r="AB55" s="16"/>
      <c r="AC55" s="16"/>
      <c r="AD55" s="17" t="e">
        <f>AD54*12</f>
        <v>#REF!</v>
      </c>
      <c r="AE55" s="17"/>
      <c r="AF55" s="12" t="e">
        <f>E55+G55+H55+I55+J55+L55+N55+O55+P55+Q55+T55+U55+V55+W55+X55+Y55+Z55+#REF!+#REF!+#REF!+AD55</f>
        <v>#REF!</v>
      </c>
      <c r="AG55" s="15"/>
      <c r="AH55" s="9"/>
      <c r="AI55" s="5"/>
      <c r="AJ55" s="5"/>
      <c r="AK55" s="5"/>
      <c r="AL55" s="5"/>
      <c r="AM55" s="5"/>
      <c r="AN55" s="10"/>
      <c r="AO55" s="11"/>
    </row>
    <row r="56" spans="1:45" ht="15">
      <c r="A56" s="39"/>
      <c r="B56" s="46"/>
      <c r="C56" s="47"/>
      <c r="D56" s="48"/>
      <c r="E56" s="4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50"/>
      <c r="AB56" s="51"/>
      <c r="AC56" s="51"/>
      <c r="AD56" s="52"/>
      <c r="AE56" s="52"/>
      <c r="AF56" s="53"/>
      <c r="AG56" s="49"/>
      <c r="AH56" s="54"/>
      <c r="AI56" s="6"/>
      <c r="AJ56" s="6"/>
      <c r="AK56" s="6"/>
      <c r="AL56" s="6"/>
      <c r="AM56" s="6"/>
      <c r="AN56" s="6"/>
      <c r="AO56" s="11"/>
    </row>
    <row r="57" spans="1:45">
      <c r="A57" s="3" t="s">
        <v>88</v>
      </c>
      <c r="B57" s="25"/>
      <c r="C57" s="25"/>
      <c r="D57" s="25"/>
      <c r="E57" s="2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"/>
      <c r="AC57" s="2"/>
      <c r="AD57" s="2"/>
      <c r="AE57" s="2"/>
      <c r="AF57" s="2"/>
      <c r="AG57" s="2"/>
      <c r="AH57" s="1"/>
    </row>
    <row r="58" spans="1:45" s="78" customFormat="1">
      <c r="A58" s="74"/>
      <c r="B58" s="75" t="s">
        <v>95</v>
      </c>
      <c r="C58" s="75"/>
      <c r="D58" s="75"/>
      <c r="E58" s="76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76"/>
      <c r="AD58" s="76"/>
      <c r="AE58" s="76"/>
      <c r="AF58" s="76"/>
      <c r="AG58" s="76"/>
      <c r="AH58" s="77"/>
      <c r="AO58" s="79"/>
    </row>
    <row r="59" spans="1:45">
      <c r="B59" s="25"/>
      <c r="C59" s="25"/>
      <c r="D59" s="25"/>
      <c r="E59" s="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"/>
      <c r="AC59" s="2"/>
      <c r="AD59" s="2"/>
      <c r="AE59" s="2"/>
      <c r="AF59" s="2"/>
      <c r="AG59" s="2"/>
      <c r="AH59" s="1"/>
    </row>
    <row r="60" spans="1:45">
      <c r="B60" s="25"/>
      <c r="C60" s="25"/>
      <c r="D60" s="25"/>
      <c r="E60" s="2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"/>
      <c r="AC60" s="2"/>
      <c r="AD60" s="2"/>
      <c r="AE60" s="2"/>
      <c r="AF60" s="2"/>
      <c r="AG60" s="2"/>
      <c r="AH60" s="1"/>
    </row>
    <row r="61" spans="1:45" ht="18.75">
      <c r="A61" s="61">
        <f>A32+1</f>
        <v>26</v>
      </c>
      <c r="B61" s="60" t="s">
        <v>31</v>
      </c>
      <c r="C61" s="66" t="s">
        <v>3</v>
      </c>
      <c r="D61" s="62">
        <v>5.0999999999999996</v>
      </c>
      <c r="E61" s="62">
        <v>3.04</v>
      </c>
      <c r="F61" s="62">
        <v>1.2</v>
      </c>
      <c r="G61" s="62">
        <v>0.63</v>
      </c>
      <c r="H61" s="62">
        <v>1.3</v>
      </c>
      <c r="I61" s="62">
        <v>0.5</v>
      </c>
      <c r="J61" s="62"/>
      <c r="K61" s="62"/>
      <c r="L61" s="62"/>
      <c r="M61" s="62"/>
      <c r="N61" s="62">
        <v>0.11</v>
      </c>
      <c r="O61" s="62">
        <v>7.04</v>
      </c>
      <c r="P61" s="62"/>
      <c r="Q61" s="62"/>
      <c r="R61" s="62">
        <v>0.13</v>
      </c>
      <c r="S61" s="62">
        <v>0.21</v>
      </c>
      <c r="T61" s="62"/>
      <c r="U61" s="62">
        <v>0.27</v>
      </c>
      <c r="V61" s="62">
        <v>0.28999999999999998</v>
      </c>
      <c r="W61" s="62"/>
      <c r="X61" s="62">
        <v>0.2</v>
      </c>
      <c r="Y61" s="62">
        <v>0.12</v>
      </c>
      <c r="Z61" s="62">
        <v>0.3</v>
      </c>
      <c r="AA61" s="62"/>
      <c r="AB61" s="69"/>
      <c r="AC61" s="69"/>
      <c r="AD61" s="71"/>
      <c r="AE61" s="65">
        <f>SUM(E61:AD61)</f>
        <v>15.34</v>
      </c>
      <c r="AF61" s="65">
        <f>E61+G61+H61+I61+J61+L61+N61+O61+P61+Q61+T61+U61+V61+W61+X61+Y61+Z61+AD61</f>
        <v>13.799999999999999</v>
      </c>
      <c r="AG61" s="73">
        <v>12.79</v>
      </c>
      <c r="AH61" s="67">
        <v>4.32</v>
      </c>
      <c r="AI61" s="64">
        <v>0.41</v>
      </c>
      <c r="AJ61" s="64">
        <v>3.37</v>
      </c>
      <c r="AK61" s="64">
        <v>2.42</v>
      </c>
      <c r="AL61" s="64">
        <v>-0.28000000000000003</v>
      </c>
      <c r="AM61" s="65">
        <f>AE61+AG61</f>
        <v>28.13</v>
      </c>
      <c r="AN61" s="65">
        <f>AM61+D61</f>
        <v>33.229999999999997</v>
      </c>
      <c r="AO61" s="70"/>
      <c r="AP61" s="58">
        <v>1.0635222267004909</v>
      </c>
      <c r="AQ61" s="58">
        <v>0.1589094857630575</v>
      </c>
      <c r="AR61" s="58">
        <v>0.54867235354086163</v>
      </c>
      <c r="AS61" s="58">
        <v>0.30636242680006642</v>
      </c>
    </row>
    <row r="62" spans="1:45">
      <c r="B62" s="25"/>
      <c r="C62" s="25"/>
      <c r="D62" s="25"/>
      <c r="E62" s="2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"/>
      <c r="AC62" s="2"/>
      <c r="AD62" s="2"/>
      <c r="AE62" s="2"/>
      <c r="AF62" s="2"/>
      <c r="AG62" s="2"/>
      <c r="AH62" s="1"/>
    </row>
    <row r="63" spans="1:45">
      <c r="B63" s="25"/>
      <c r="C63" s="25"/>
      <c r="D63" s="25"/>
      <c r="E63" s="2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"/>
      <c r="AC63" s="2"/>
      <c r="AD63" s="2"/>
      <c r="AE63" s="2"/>
      <c r="AF63" s="2"/>
      <c r="AG63" s="2"/>
      <c r="AH63" s="1"/>
    </row>
    <row r="64" spans="1:45">
      <c r="B64" s="25"/>
      <c r="C64" s="25"/>
      <c r="D64" s="25"/>
      <c r="E64" s="2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"/>
      <c r="AC64" s="2"/>
      <c r="AD64" s="2"/>
      <c r="AE64" s="2"/>
      <c r="AF64" s="2"/>
      <c r="AG64" s="2"/>
      <c r="AH64" s="1"/>
    </row>
    <row r="65" spans="2:34">
      <c r="B65" s="25"/>
      <c r="C65" s="25"/>
      <c r="D65" s="25"/>
      <c r="E65" s="2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"/>
      <c r="AC65" s="2"/>
      <c r="AD65" s="2"/>
      <c r="AE65" s="2"/>
      <c r="AF65" s="2"/>
      <c r="AG65" s="2"/>
      <c r="AH65" s="1"/>
    </row>
    <row r="66" spans="2:34">
      <c r="B66" s="25"/>
      <c r="C66" s="25"/>
      <c r="D66" s="25"/>
      <c r="E66" s="2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"/>
      <c r="AC66" s="2"/>
      <c r="AD66" s="2"/>
      <c r="AE66" s="2"/>
      <c r="AF66" s="2"/>
      <c r="AG66" s="2"/>
      <c r="AH66" s="1"/>
    </row>
    <row r="67" spans="2:34">
      <c r="B67" s="25"/>
      <c r="C67" s="25"/>
      <c r="D67" s="25"/>
      <c r="E67" s="2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"/>
      <c r="AC67" s="2"/>
      <c r="AD67" s="2"/>
      <c r="AE67" s="2"/>
      <c r="AF67" s="2"/>
      <c r="AG67" s="2"/>
      <c r="AH67" s="1"/>
    </row>
    <row r="68" spans="2:34">
      <c r="AH68" s="1"/>
    </row>
    <row r="69" spans="2:34">
      <c r="AH69" s="1"/>
    </row>
    <row r="70" spans="2:34">
      <c r="AH70" s="1"/>
    </row>
    <row r="71" spans="2:34">
      <c r="AH71" s="1"/>
    </row>
    <row r="72" spans="2:34">
      <c r="AH72" s="1"/>
    </row>
    <row r="73" spans="2:34">
      <c r="AH73" s="1"/>
    </row>
    <row r="74" spans="2:34">
      <c r="AH74" s="1"/>
    </row>
    <row r="75" spans="2:34">
      <c r="AH75" s="1"/>
    </row>
    <row r="76" spans="2:34">
      <c r="AH76" s="1"/>
    </row>
    <row r="77" spans="2:34">
      <c r="AH77" s="1"/>
    </row>
    <row r="78" spans="2:34">
      <c r="AH78" s="1"/>
    </row>
  </sheetData>
  <mergeCells count="41">
    <mergeCell ref="A6:AO6"/>
    <mergeCell ref="AC3:AC4"/>
    <mergeCell ref="AD3:AD4"/>
    <mergeCell ref="Z3:Z4"/>
    <mergeCell ref="AA3:AA4"/>
    <mergeCell ref="AB3:AB4"/>
    <mergeCell ref="I3:I4"/>
    <mergeCell ref="J3:J4"/>
    <mergeCell ref="V3:V4"/>
    <mergeCell ref="W3:W4"/>
    <mergeCell ref="X3:X4"/>
    <mergeCell ref="Y3:Y4"/>
    <mergeCell ref="O3:O4"/>
    <mergeCell ref="K3:K4"/>
    <mergeCell ref="H3:H4"/>
    <mergeCell ref="L3:L4"/>
    <mergeCell ref="A2:A4"/>
    <mergeCell ref="B2:B4"/>
    <mergeCell ref="C2:C4"/>
    <mergeCell ref="D2:D4"/>
    <mergeCell ref="AE2:AE4"/>
    <mergeCell ref="E3:E4"/>
    <mergeCell ref="F3:F4"/>
    <mergeCell ref="E2:AD2"/>
    <mergeCell ref="M3:M4"/>
    <mergeCell ref="N3:N4"/>
    <mergeCell ref="S3:S4"/>
    <mergeCell ref="AP2:AS2"/>
    <mergeCell ref="AP3:AS3"/>
    <mergeCell ref="B1:AG1"/>
    <mergeCell ref="P3:P4"/>
    <mergeCell ref="Q3:Q4"/>
    <mergeCell ref="T3:T4"/>
    <mergeCell ref="U3:U4"/>
    <mergeCell ref="AF2:AF4"/>
    <mergeCell ref="AG2:AG4"/>
    <mergeCell ref="G3:G4"/>
    <mergeCell ref="AH2:AL2"/>
    <mergeCell ref="AM2:AM3"/>
    <mergeCell ref="AN2:AN3"/>
    <mergeCell ref="R3:R4"/>
  </mergeCells>
  <phoneticPr fontId="13" type="noConversion"/>
  <pageMargins left="0" right="0" top="0" bottom="0" header="0.15748031496062992" footer="0.1574803149606299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7"/>
  <sheetViews>
    <sheetView zoomScale="75" zoomScaleNormal="75" workbookViewId="0">
      <selection sqref="A1:XFD1048576"/>
    </sheetView>
  </sheetViews>
  <sheetFormatPr defaultRowHeight="12.75" outlineLevelCol="1"/>
  <cols>
    <col min="1" max="1" width="4.42578125" style="7" customWidth="1"/>
    <col min="2" max="2" width="22.85546875" style="7" customWidth="1"/>
    <col min="3" max="3" width="6.42578125" style="7" customWidth="1"/>
    <col min="4" max="4" width="7.5703125" style="7" customWidth="1"/>
    <col min="5" max="5" width="7.85546875" customWidth="1"/>
    <col min="6" max="6" width="7.7109375" style="7" customWidth="1"/>
    <col min="7" max="7" width="7.85546875" style="7" customWidth="1"/>
    <col min="8" max="8" width="8" style="7" customWidth="1"/>
    <col min="9" max="9" width="7.85546875" style="7" customWidth="1"/>
    <col min="10" max="11" width="6.140625" style="7" hidden="1" customWidth="1"/>
    <col min="12" max="12" width="5.7109375" style="7" hidden="1" customWidth="1"/>
    <col min="13" max="13" width="6.140625" style="7" hidden="1" customWidth="1"/>
    <col min="14" max="14" width="7.28515625" style="7" customWidth="1"/>
    <col min="15" max="15" width="8.28515625" style="7" customWidth="1"/>
    <col min="16" max="16" width="7.140625" style="7" customWidth="1"/>
    <col min="17" max="17" width="7.5703125" style="7" customWidth="1"/>
    <col min="18" max="18" width="7" style="7" customWidth="1"/>
    <col min="19" max="19" width="6.140625" style="7" customWidth="1"/>
    <col min="20" max="20" width="7.7109375" style="7" customWidth="1"/>
    <col min="21" max="21" width="6.140625" style="7" customWidth="1"/>
    <col min="22" max="22" width="6.5703125" style="7" customWidth="1"/>
    <col min="23" max="23" width="6.85546875" style="7" customWidth="1"/>
    <col min="24" max="24" width="6" style="7" customWidth="1"/>
    <col min="25" max="25" width="7.85546875" style="7" customWidth="1"/>
    <col min="26" max="26" width="8.85546875" customWidth="1"/>
    <col min="27" max="27" width="11" customWidth="1"/>
    <col min="28" max="28" width="8.7109375" customWidth="1"/>
    <col min="29" max="29" width="9.5703125" hidden="1" customWidth="1" outlineLevel="1"/>
    <col min="30" max="31" width="9.140625" hidden="1" customWidth="1" outlineLevel="1"/>
    <col min="32" max="32" width="12.140625" hidden="1" customWidth="1" outlineLevel="1"/>
    <col min="33" max="33" width="9.140625" hidden="1" customWidth="1" outlineLevel="1"/>
    <col min="34" max="34" width="9.140625" customWidth="1" collapsed="1"/>
    <col min="35" max="35" width="9.140625" customWidth="1"/>
  </cols>
  <sheetData>
    <row r="1" spans="1:41" ht="15.75" customHeight="1">
      <c r="B1" s="250" t="s">
        <v>96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</row>
    <row r="2" spans="1:41" ht="33" customHeight="1">
      <c r="A2" s="257" t="s">
        <v>87</v>
      </c>
      <c r="B2" s="258" t="s">
        <v>0</v>
      </c>
      <c r="C2" s="259" t="s">
        <v>5</v>
      </c>
      <c r="D2" s="252" t="s">
        <v>62</v>
      </c>
      <c r="E2" s="82" t="s">
        <v>1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252" t="s">
        <v>4</v>
      </c>
      <c r="AA2" s="252" t="s">
        <v>83</v>
      </c>
      <c r="AB2" s="252" t="s">
        <v>82</v>
      </c>
      <c r="AC2" s="253" t="s">
        <v>49</v>
      </c>
      <c r="AD2" s="253"/>
      <c r="AE2" s="253"/>
      <c r="AF2" s="253"/>
      <c r="AG2" s="253"/>
      <c r="AH2" s="264" t="s">
        <v>61</v>
      </c>
      <c r="AI2" s="264" t="s">
        <v>59</v>
      </c>
      <c r="AJ2" s="249" t="s">
        <v>84</v>
      </c>
      <c r="AK2" s="249"/>
      <c r="AL2" s="249"/>
      <c r="AM2" s="249"/>
    </row>
    <row r="3" spans="1:41" ht="212.25" customHeight="1">
      <c r="A3" s="257"/>
      <c r="B3" s="258" t="s">
        <v>0</v>
      </c>
      <c r="C3" s="259"/>
      <c r="D3" s="252"/>
      <c r="E3" s="260" t="s">
        <v>63</v>
      </c>
      <c r="F3" s="251" t="s">
        <v>64</v>
      </c>
      <c r="G3" s="251" t="s">
        <v>65</v>
      </c>
      <c r="H3" s="251" t="s">
        <v>67</v>
      </c>
      <c r="I3" s="251" t="s">
        <v>66</v>
      </c>
      <c r="J3" s="251" t="s">
        <v>68</v>
      </c>
      <c r="K3" s="251" t="s">
        <v>69</v>
      </c>
      <c r="L3" s="251" t="s">
        <v>70</v>
      </c>
      <c r="M3" s="251" t="s">
        <v>71</v>
      </c>
      <c r="N3" s="251" t="s">
        <v>72</v>
      </c>
      <c r="O3" s="251" t="s">
        <v>73</v>
      </c>
      <c r="P3" s="251" t="s">
        <v>74</v>
      </c>
      <c r="Q3" s="251" t="s">
        <v>54</v>
      </c>
      <c r="R3" s="251" t="s">
        <v>75</v>
      </c>
      <c r="S3" s="251" t="s">
        <v>76</v>
      </c>
      <c r="T3" s="251" t="s">
        <v>77</v>
      </c>
      <c r="U3" s="251" t="s">
        <v>78</v>
      </c>
      <c r="V3" s="251" t="s">
        <v>55</v>
      </c>
      <c r="W3" s="251" t="s">
        <v>56</v>
      </c>
      <c r="X3" s="251" t="s">
        <v>79</v>
      </c>
      <c r="Y3" s="251" t="s">
        <v>80</v>
      </c>
      <c r="Z3" s="252"/>
      <c r="AA3" s="252"/>
      <c r="AB3" s="252"/>
      <c r="AC3" s="38" t="s">
        <v>50</v>
      </c>
      <c r="AD3" s="38" t="s">
        <v>51</v>
      </c>
      <c r="AE3" s="38" t="s">
        <v>52</v>
      </c>
      <c r="AF3" s="38" t="s">
        <v>53</v>
      </c>
      <c r="AG3" s="38" t="s">
        <v>58</v>
      </c>
      <c r="AH3" s="265"/>
      <c r="AI3" s="265"/>
      <c r="AJ3" s="251" t="s">
        <v>89</v>
      </c>
      <c r="AK3" s="251" t="s">
        <v>90</v>
      </c>
      <c r="AL3" s="251" t="s">
        <v>91</v>
      </c>
      <c r="AM3" s="251" t="s">
        <v>92</v>
      </c>
    </row>
    <row r="4" spans="1:41" ht="24" customHeight="1">
      <c r="A4" s="257"/>
      <c r="B4" s="258"/>
      <c r="C4" s="259"/>
      <c r="D4" s="252"/>
      <c r="E4" s="260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2"/>
      <c r="AA4" s="252"/>
      <c r="AB4" s="252"/>
      <c r="AC4" s="38"/>
      <c r="AD4" s="38"/>
      <c r="AE4" s="38"/>
      <c r="AF4" s="38"/>
      <c r="AG4" s="38"/>
      <c r="AH4" s="266"/>
      <c r="AI4" s="266"/>
      <c r="AJ4" s="251"/>
      <c r="AK4" s="251"/>
      <c r="AL4" s="251"/>
      <c r="AM4" s="251"/>
    </row>
    <row r="5" spans="1:41" ht="19.5" customHeight="1">
      <c r="A5" s="72">
        <v>1</v>
      </c>
      <c r="B5" s="72">
        <v>2</v>
      </c>
      <c r="C5" s="72">
        <v>3</v>
      </c>
      <c r="D5" s="72">
        <v>4</v>
      </c>
      <c r="E5" s="35">
        <v>5</v>
      </c>
      <c r="F5" s="72">
        <v>6</v>
      </c>
      <c r="G5" s="72">
        <v>7</v>
      </c>
      <c r="H5" s="72">
        <v>8</v>
      </c>
      <c r="I5" s="72">
        <v>9</v>
      </c>
      <c r="J5" s="72">
        <v>11</v>
      </c>
      <c r="K5" s="72">
        <v>12</v>
      </c>
      <c r="L5" s="72">
        <v>13</v>
      </c>
      <c r="M5" s="72">
        <v>14</v>
      </c>
      <c r="N5" s="72">
        <v>10</v>
      </c>
      <c r="O5" s="72">
        <v>11</v>
      </c>
      <c r="P5" s="72">
        <v>12</v>
      </c>
      <c r="Q5" s="72">
        <v>13</v>
      </c>
      <c r="R5" s="72">
        <v>14</v>
      </c>
      <c r="S5" s="72">
        <v>15</v>
      </c>
      <c r="T5" s="72">
        <v>16</v>
      </c>
      <c r="U5" s="72">
        <v>17</v>
      </c>
      <c r="V5" s="72">
        <v>18</v>
      </c>
      <c r="W5" s="72">
        <v>19</v>
      </c>
      <c r="X5" s="72">
        <v>20</v>
      </c>
      <c r="Y5" s="72">
        <v>21</v>
      </c>
      <c r="Z5" s="35">
        <v>25</v>
      </c>
      <c r="AA5" s="35">
        <v>22</v>
      </c>
      <c r="AB5" s="35">
        <v>23</v>
      </c>
      <c r="AC5" s="35">
        <v>35</v>
      </c>
      <c r="AD5" s="35">
        <v>36</v>
      </c>
      <c r="AE5" s="35">
        <v>37</v>
      </c>
      <c r="AF5" s="35">
        <v>38</v>
      </c>
      <c r="AG5" s="35">
        <v>39</v>
      </c>
      <c r="AH5" s="35">
        <v>40</v>
      </c>
      <c r="AI5" s="35">
        <v>41</v>
      </c>
      <c r="AJ5" s="40">
        <v>31</v>
      </c>
      <c r="AK5" s="40">
        <v>32</v>
      </c>
      <c r="AL5" s="40">
        <v>33</v>
      </c>
      <c r="AM5" s="40">
        <v>34</v>
      </c>
    </row>
    <row r="6" spans="1:41" ht="19.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59"/>
      <c r="AK6" s="59"/>
      <c r="AL6" s="59"/>
      <c r="AM6" s="59"/>
    </row>
    <row r="7" spans="1:41" ht="18.75">
      <c r="A7" s="61"/>
      <c r="B7" s="26" t="s">
        <v>2</v>
      </c>
      <c r="C7" s="26"/>
      <c r="D7" s="63"/>
      <c r="E7" s="68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8"/>
      <c r="AA7" s="68"/>
      <c r="AB7" s="68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</row>
    <row r="8" spans="1:41" ht="18.75">
      <c r="A8" s="61">
        <f t="shared" ref="A8:A32" si="0">A7+1</f>
        <v>1</v>
      </c>
      <c r="B8" s="60" t="s">
        <v>6</v>
      </c>
      <c r="C8" s="66" t="s">
        <v>3</v>
      </c>
      <c r="D8" s="90">
        <v>5.04</v>
      </c>
      <c r="E8" s="90">
        <v>5.17</v>
      </c>
      <c r="F8" s="90">
        <v>1.32</v>
      </c>
      <c r="G8" s="90">
        <v>2.12</v>
      </c>
      <c r="H8" s="90">
        <v>2.9</v>
      </c>
      <c r="I8" s="90">
        <v>2.63</v>
      </c>
      <c r="J8" s="90"/>
      <c r="K8" s="90"/>
      <c r="L8" s="90"/>
      <c r="M8" s="90"/>
      <c r="N8" s="90">
        <v>0.11</v>
      </c>
      <c r="O8" s="90">
        <v>8.16</v>
      </c>
      <c r="P8" s="90">
        <v>0.37</v>
      </c>
      <c r="Q8" s="90">
        <v>0.85</v>
      </c>
      <c r="R8" s="90">
        <v>0.31</v>
      </c>
      <c r="S8" s="90"/>
      <c r="T8" s="90">
        <v>0.12</v>
      </c>
      <c r="U8" s="90">
        <v>0.18</v>
      </c>
      <c r="V8" s="90">
        <v>0.15</v>
      </c>
      <c r="W8" s="90">
        <v>0.09</v>
      </c>
      <c r="X8" s="90">
        <v>0.14000000000000001</v>
      </c>
      <c r="Y8" s="90"/>
      <c r="Z8" s="91">
        <f t="shared" ref="Z8:Z32" si="1">SUM(E8:Y8)</f>
        <v>24.62</v>
      </c>
      <c r="AA8" s="91">
        <f>E8+G8+H8+I8+J8+L8+N8+O8+P8+Q8+R8+S8+T8+U8+V8+W8+X8</f>
        <v>23.3</v>
      </c>
      <c r="AB8" s="92">
        <f t="shared" ref="AB8:AB32" si="2">AC8+AD8+AG8+AE8+AF8</f>
        <v>9.1440000000000001</v>
      </c>
      <c r="AC8" s="93">
        <v>2.7440000000000002</v>
      </c>
      <c r="AD8" s="94">
        <v>0.32</v>
      </c>
      <c r="AE8" s="94">
        <v>3.95</v>
      </c>
      <c r="AF8" s="94">
        <v>2.13</v>
      </c>
      <c r="AG8" s="94"/>
      <c r="AH8" s="91">
        <f t="shared" ref="AH8:AH40" si="3">Z8+AB8</f>
        <v>33.764000000000003</v>
      </c>
      <c r="AI8" s="91">
        <f t="shared" ref="AI8:AI32" si="4">AH8+D8</f>
        <v>38.804000000000002</v>
      </c>
      <c r="AJ8" s="95">
        <v>0.98757048229438937</v>
      </c>
      <c r="AK8" s="95">
        <v>0.30598553761323355</v>
      </c>
      <c r="AL8" s="95">
        <v>0</v>
      </c>
      <c r="AM8" s="95">
        <v>0.29495555730602596</v>
      </c>
      <c r="AN8" s="80">
        <f>D8+AA8+AB8</f>
        <v>37.484000000000002</v>
      </c>
      <c r="AO8" s="80">
        <f>AN8+AJ8+AK8+AL8+AM8</f>
        <v>39.072511577213646</v>
      </c>
    </row>
    <row r="9" spans="1:41" ht="18.75">
      <c r="A9" s="61">
        <f>A8+1</f>
        <v>2</v>
      </c>
      <c r="B9" s="60" t="s">
        <v>7</v>
      </c>
      <c r="C9" s="66" t="s">
        <v>3</v>
      </c>
      <c r="D9" s="90">
        <v>5.04</v>
      </c>
      <c r="E9" s="90">
        <v>4.4000000000000004</v>
      </c>
      <c r="F9" s="90">
        <v>1.49</v>
      </c>
      <c r="G9" s="90">
        <v>2.2599999999999998</v>
      </c>
      <c r="H9" s="90">
        <v>3.1</v>
      </c>
      <c r="I9" s="90">
        <v>2.46</v>
      </c>
      <c r="J9" s="90"/>
      <c r="K9" s="90"/>
      <c r="L9" s="90"/>
      <c r="M9" s="90"/>
      <c r="N9" s="90">
        <v>0.1</v>
      </c>
      <c r="O9" s="90">
        <v>7.68</v>
      </c>
      <c r="P9" s="90">
        <v>0.37</v>
      </c>
      <c r="Q9" s="90">
        <v>0.7</v>
      </c>
      <c r="R9" s="90">
        <v>0.51</v>
      </c>
      <c r="S9" s="90"/>
      <c r="T9" s="90">
        <v>0.36</v>
      </c>
      <c r="U9" s="90">
        <v>0.35</v>
      </c>
      <c r="V9" s="90"/>
      <c r="W9" s="90">
        <v>0.15</v>
      </c>
      <c r="X9" s="90">
        <v>0.38</v>
      </c>
      <c r="Y9" s="90"/>
      <c r="Z9" s="91">
        <f t="shared" si="1"/>
        <v>24.310000000000002</v>
      </c>
      <c r="AA9" s="91">
        <f t="shared" ref="AA9:AA32" si="5">E9+G9+H9+I9+J9+L9+N9+O9+P9+Q9+R9+S9+T9+U9+V9+W9+X9</f>
        <v>22.82</v>
      </c>
      <c r="AB9" s="92">
        <f t="shared" si="2"/>
        <v>9.59</v>
      </c>
      <c r="AC9" s="94">
        <v>3.33</v>
      </c>
      <c r="AD9" s="94">
        <v>0.95</v>
      </c>
      <c r="AE9" s="94">
        <v>3.69</v>
      </c>
      <c r="AF9" s="94">
        <v>2.39</v>
      </c>
      <c r="AG9" s="94">
        <v>-0.77</v>
      </c>
      <c r="AH9" s="91">
        <f t="shared" si="3"/>
        <v>33.900000000000006</v>
      </c>
      <c r="AI9" s="91">
        <f t="shared" si="4"/>
        <v>38.940000000000005</v>
      </c>
      <c r="AJ9" s="95">
        <v>0.93185721085197537</v>
      </c>
      <c r="AK9" s="95">
        <v>0.27928548548310328</v>
      </c>
      <c r="AL9" s="95">
        <v>0</v>
      </c>
      <c r="AM9" s="95">
        <v>0.26921797239409806</v>
      </c>
    </row>
    <row r="10" spans="1:41" ht="18.75">
      <c r="A10" s="61">
        <f>A9+1</f>
        <v>3</v>
      </c>
      <c r="B10" s="60" t="s">
        <v>8</v>
      </c>
      <c r="C10" s="66" t="s">
        <v>3</v>
      </c>
      <c r="D10" s="90">
        <v>5.04</v>
      </c>
      <c r="E10" s="90">
        <v>5.8</v>
      </c>
      <c r="F10" s="90">
        <v>1.26</v>
      </c>
      <c r="G10" s="90">
        <v>2.38</v>
      </c>
      <c r="H10" s="90">
        <v>3.27</v>
      </c>
      <c r="I10" s="90">
        <v>3</v>
      </c>
      <c r="J10" s="90"/>
      <c r="K10" s="90"/>
      <c r="L10" s="90"/>
      <c r="M10" s="90"/>
      <c r="N10" s="90">
        <v>0.12</v>
      </c>
      <c r="O10" s="90">
        <v>6.16</v>
      </c>
      <c r="P10" s="90">
        <v>0.37</v>
      </c>
      <c r="Q10" s="90">
        <v>0.81</v>
      </c>
      <c r="R10" s="90">
        <v>0.31</v>
      </c>
      <c r="S10" s="90"/>
      <c r="T10" s="90">
        <v>0.22</v>
      </c>
      <c r="U10" s="90">
        <v>0.21</v>
      </c>
      <c r="V10" s="90"/>
      <c r="W10" s="90">
        <v>0.09</v>
      </c>
      <c r="X10" s="90">
        <v>0.23</v>
      </c>
      <c r="Y10" s="90"/>
      <c r="Z10" s="91">
        <f t="shared" si="1"/>
        <v>24.229999999999997</v>
      </c>
      <c r="AA10" s="91">
        <f t="shared" si="5"/>
        <v>22.969999999999995</v>
      </c>
      <c r="AB10" s="92">
        <f t="shared" si="2"/>
        <v>9.5640000000000001</v>
      </c>
      <c r="AC10" s="93">
        <v>3.004</v>
      </c>
      <c r="AD10" s="94">
        <v>0.3</v>
      </c>
      <c r="AE10" s="94">
        <v>4.49</v>
      </c>
      <c r="AF10" s="94">
        <v>1.77</v>
      </c>
      <c r="AG10" s="94"/>
      <c r="AH10" s="91">
        <f t="shared" si="3"/>
        <v>33.793999999999997</v>
      </c>
      <c r="AI10" s="91">
        <f t="shared" si="4"/>
        <v>38.833999999999996</v>
      </c>
      <c r="AJ10" s="95">
        <v>1.1392119707924178</v>
      </c>
      <c r="AK10" s="95">
        <v>0.35254802201359664</v>
      </c>
      <c r="AL10" s="95">
        <v>0</v>
      </c>
      <c r="AM10" s="95">
        <v>0.33983958562641631</v>
      </c>
    </row>
    <row r="11" spans="1:41" ht="18.75">
      <c r="A11" s="61">
        <f t="shared" si="0"/>
        <v>4</v>
      </c>
      <c r="B11" s="60" t="s">
        <v>9</v>
      </c>
      <c r="C11" s="66" t="s">
        <v>3</v>
      </c>
      <c r="D11" s="90">
        <v>5.04</v>
      </c>
      <c r="E11" s="90">
        <v>2.36</v>
      </c>
      <c r="F11" s="90">
        <v>1.49</v>
      </c>
      <c r="G11" s="90">
        <v>3.05</v>
      </c>
      <c r="H11" s="90">
        <v>2.0699999999999998</v>
      </c>
      <c r="I11" s="90">
        <v>1.35</v>
      </c>
      <c r="J11" s="90"/>
      <c r="K11" s="90"/>
      <c r="L11" s="90"/>
      <c r="M11" s="90"/>
      <c r="N11" s="90">
        <v>0.1</v>
      </c>
      <c r="O11" s="90">
        <v>8.3800000000000008</v>
      </c>
      <c r="P11" s="90">
        <v>0.37</v>
      </c>
      <c r="Q11" s="90">
        <v>0.75</v>
      </c>
      <c r="R11" s="90">
        <v>0.27</v>
      </c>
      <c r="S11" s="90"/>
      <c r="T11" s="90">
        <v>0.19</v>
      </c>
      <c r="U11" s="90">
        <v>0.19</v>
      </c>
      <c r="V11" s="90"/>
      <c r="W11" s="90">
        <v>0.08</v>
      </c>
      <c r="X11" s="90">
        <v>0.2</v>
      </c>
      <c r="Y11" s="90"/>
      <c r="Z11" s="91">
        <f t="shared" si="1"/>
        <v>20.849999999999998</v>
      </c>
      <c r="AA11" s="91">
        <f t="shared" si="5"/>
        <v>19.360000000000003</v>
      </c>
      <c r="AB11" s="92">
        <f t="shared" si="2"/>
        <v>12.7</v>
      </c>
      <c r="AC11" s="94">
        <v>7.96</v>
      </c>
      <c r="AD11" s="94"/>
      <c r="AE11" s="94">
        <v>2.0299999999999998</v>
      </c>
      <c r="AF11" s="94">
        <v>3.02</v>
      </c>
      <c r="AG11" s="94">
        <v>-0.31</v>
      </c>
      <c r="AH11" s="91">
        <f t="shared" si="3"/>
        <v>33.549999999999997</v>
      </c>
      <c r="AI11" s="91">
        <f t="shared" si="4"/>
        <v>38.589999999999996</v>
      </c>
      <c r="AJ11" s="95">
        <v>0.77730308135598547</v>
      </c>
      <c r="AK11" s="95">
        <v>0.11854715938971201</v>
      </c>
      <c r="AL11" s="95">
        <v>0</v>
      </c>
      <c r="AM11" s="95">
        <v>0.11427384358615042</v>
      </c>
    </row>
    <row r="12" spans="1:41" ht="18.75">
      <c r="A12" s="61">
        <f t="shared" si="0"/>
        <v>5</v>
      </c>
      <c r="B12" s="60" t="s">
        <v>10</v>
      </c>
      <c r="C12" s="66" t="s">
        <v>3</v>
      </c>
      <c r="D12" s="90">
        <v>5.04</v>
      </c>
      <c r="E12" s="90">
        <v>2.17</v>
      </c>
      <c r="F12" s="90">
        <v>1.75</v>
      </c>
      <c r="G12" s="90">
        <v>3.09</v>
      </c>
      <c r="H12" s="90">
        <v>1.92</v>
      </c>
      <c r="I12" s="90">
        <v>1.25</v>
      </c>
      <c r="J12" s="90"/>
      <c r="K12" s="90"/>
      <c r="L12" s="90"/>
      <c r="M12" s="90"/>
      <c r="N12" s="90">
        <v>0.11</v>
      </c>
      <c r="O12" s="90">
        <v>9.6999999999999993</v>
      </c>
      <c r="P12" s="90">
        <v>0.37</v>
      </c>
      <c r="Q12" s="90">
        <v>0.9</v>
      </c>
      <c r="R12" s="90">
        <v>0.27</v>
      </c>
      <c r="S12" s="90"/>
      <c r="T12" s="90">
        <v>0.19</v>
      </c>
      <c r="U12" s="90">
        <v>0.19</v>
      </c>
      <c r="V12" s="90"/>
      <c r="W12" s="90">
        <v>0.08</v>
      </c>
      <c r="X12" s="90">
        <v>0.2</v>
      </c>
      <c r="Y12" s="90"/>
      <c r="Z12" s="91">
        <f t="shared" si="1"/>
        <v>22.189999999999998</v>
      </c>
      <c r="AA12" s="91">
        <f t="shared" si="5"/>
        <v>20.439999999999998</v>
      </c>
      <c r="AB12" s="92">
        <f t="shared" si="2"/>
        <v>11.384</v>
      </c>
      <c r="AC12" s="93">
        <v>7.0540000000000003</v>
      </c>
      <c r="AD12" s="94"/>
      <c r="AE12" s="94">
        <v>1.88</v>
      </c>
      <c r="AF12" s="94">
        <v>3.02</v>
      </c>
      <c r="AG12" s="94">
        <v>-0.56999999999999995</v>
      </c>
      <c r="AH12" s="91">
        <f t="shared" si="3"/>
        <v>33.573999999999998</v>
      </c>
      <c r="AI12" s="91">
        <f t="shared" si="4"/>
        <v>38.613999999999997</v>
      </c>
      <c r="AJ12" s="95">
        <v>0.77514250325531164</v>
      </c>
      <c r="AK12" s="95">
        <v>9.9782894527900401E-2</v>
      </c>
      <c r="AL12" s="95">
        <v>0</v>
      </c>
      <c r="AM12" s="95">
        <v>9.6185981516181282E-2</v>
      </c>
    </row>
    <row r="13" spans="1:41" ht="18.75">
      <c r="A13" s="61">
        <f t="shared" si="0"/>
        <v>6</v>
      </c>
      <c r="B13" s="60" t="s">
        <v>11</v>
      </c>
      <c r="C13" s="66" t="s">
        <v>3</v>
      </c>
      <c r="D13" s="90">
        <v>5.04</v>
      </c>
      <c r="E13" s="90">
        <v>4.76</v>
      </c>
      <c r="F13" s="90">
        <v>1.37</v>
      </c>
      <c r="G13" s="90">
        <v>2.11</v>
      </c>
      <c r="H13" s="90">
        <v>2.87</v>
      </c>
      <c r="I13" s="90">
        <v>2.4</v>
      </c>
      <c r="J13" s="90"/>
      <c r="K13" s="90"/>
      <c r="L13" s="90"/>
      <c r="M13" s="90"/>
      <c r="N13" s="90">
        <v>0.12</v>
      </c>
      <c r="O13" s="90">
        <v>8.27</v>
      </c>
      <c r="P13" s="90">
        <v>0.37</v>
      </c>
      <c r="Q13" s="90">
        <v>1.05</v>
      </c>
      <c r="R13" s="90">
        <v>0.37</v>
      </c>
      <c r="S13" s="90"/>
      <c r="T13" s="90">
        <v>0.27</v>
      </c>
      <c r="U13" s="90">
        <v>0.26</v>
      </c>
      <c r="V13" s="90"/>
      <c r="W13" s="90">
        <v>0.11</v>
      </c>
      <c r="X13" s="90">
        <v>0.27</v>
      </c>
      <c r="Y13" s="90"/>
      <c r="Z13" s="91">
        <f t="shared" si="1"/>
        <v>24.6</v>
      </c>
      <c r="AA13" s="91">
        <f t="shared" si="5"/>
        <v>23.23</v>
      </c>
      <c r="AB13" s="92">
        <f t="shared" si="2"/>
        <v>9.34</v>
      </c>
      <c r="AC13" s="94">
        <v>2.96</v>
      </c>
      <c r="AD13" s="94">
        <v>0.74</v>
      </c>
      <c r="AE13" s="94">
        <v>3.59</v>
      </c>
      <c r="AF13" s="94">
        <v>2.2400000000000002</v>
      </c>
      <c r="AG13" s="94">
        <v>-0.19</v>
      </c>
      <c r="AH13" s="91">
        <f t="shared" si="3"/>
        <v>33.94</v>
      </c>
      <c r="AI13" s="91">
        <f t="shared" si="4"/>
        <v>38.979999999999997</v>
      </c>
      <c r="AJ13" s="95">
        <v>1.0925916359696639</v>
      </c>
      <c r="AK13" s="95">
        <v>0.32925670205850482</v>
      </c>
      <c r="AL13" s="95">
        <v>0</v>
      </c>
      <c r="AM13" s="95">
        <v>0.31738785698808236</v>
      </c>
    </row>
    <row r="14" spans="1:41" ht="18.75">
      <c r="A14" s="61">
        <f t="shared" si="0"/>
        <v>7</v>
      </c>
      <c r="B14" s="60" t="s">
        <v>12</v>
      </c>
      <c r="C14" s="66" t="s">
        <v>3</v>
      </c>
      <c r="D14" s="90">
        <v>5.04</v>
      </c>
      <c r="E14" s="90">
        <v>4.7699999999999996</v>
      </c>
      <c r="F14" s="90">
        <v>1.29</v>
      </c>
      <c r="G14" s="90">
        <v>2.1</v>
      </c>
      <c r="H14" s="90">
        <v>2.87</v>
      </c>
      <c r="I14" s="90">
        <v>2.4</v>
      </c>
      <c r="J14" s="90"/>
      <c r="K14" s="90"/>
      <c r="L14" s="90"/>
      <c r="M14" s="90"/>
      <c r="N14" s="90">
        <v>0.11</v>
      </c>
      <c r="O14" s="90">
        <v>8.16</v>
      </c>
      <c r="P14" s="90">
        <v>0.37</v>
      </c>
      <c r="Q14" s="90">
        <v>1</v>
      </c>
      <c r="R14" s="90">
        <v>0.37</v>
      </c>
      <c r="S14" s="90"/>
      <c r="T14" s="90">
        <v>0.14000000000000001</v>
      </c>
      <c r="U14" s="90">
        <v>0.21</v>
      </c>
      <c r="V14" s="90">
        <v>0.19</v>
      </c>
      <c r="W14" s="90">
        <v>0.11</v>
      </c>
      <c r="X14" s="90">
        <v>0.17</v>
      </c>
      <c r="Y14" s="90"/>
      <c r="Z14" s="91">
        <f t="shared" si="1"/>
        <v>24.260000000000009</v>
      </c>
      <c r="AA14" s="91">
        <f t="shared" si="5"/>
        <v>22.970000000000002</v>
      </c>
      <c r="AB14" s="92">
        <f t="shared" si="2"/>
        <v>9.64</v>
      </c>
      <c r="AC14" s="94">
        <v>3.07</v>
      </c>
      <c r="AD14" s="94">
        <v>0.75</v>
      </c>
      <c r="AE14" s="94">
        <v>3.6</v>
      </c>
      <c r="AF14" s="94">
        <v>2.2400000000000002</v>
      </c>
      <c r="AG14" s="94">
        <v>-0.02</v>
      </c>
      <c r="AH14" s="91">
        <f t="shared" si="3"/>
        <v>33.900000000000006</v>
      </c>
      <c r="AI14" s="91">
        <f t="shared" si="4"/>
        <v>38.940000000000005</v>
      </c>
      <c r="AJ14" s="95">
        <v>1.0609556722962705</v>
      </c>
      <c r="AK14" s="95">
        <v>0.32737696348717055</v>
      </c>
      <c r="AL14" s="95">
        <v>0</v>
      </c>
      <c r="AM14" s="95">
        <v>0.31557587808796073</v>
      </c>
    </row>
    <row r="15" spans="1:41" ht="18.75">
      <c r="A15" s="61">
        <f t="shared" si="0"/>
        <v>8</v>
      </c>
      <c r="B15" s="60" t="s">
        <v>13</v>
      </c>
      <c r="C15" s="66" t="s">
        <v>3</v>
      </c>
      <c r="D15" s="90">
        <v>5.04</v>
      </c>
      <c r="E15" s="90">
        <v>5.58</v>
      </c>
      <c r="F15" s="90">
        <v>1.1499999999999999</v>
      </c>
      <c r="G15" s="90">
        <v>2.39</v>
      </c>
      <c r="H15" s="90">
        <v>3.28</v>
      </c>
      <c r="I15" s="90">
        <v>2.72</v>
      </c>
      <c r="J15" s="90"/>
      <c r="K15" s="90"/>
      <c r="L15" s="90"/>
      <c r="M15" s="90"/>
      <c r="N15" s="90">
        <v>0.11</v>
      </c>
      <c r="O15" s="90">
        <v>5.86</v>
      </c>
      <c r="P15" s="90">
        <v>0.37</v>
      </c>
      <c r="Q15" s="90">
        <v>0.85</v>
      </c>
      <c r="R15" s="90">
        <v>0.37</v>
      </c>
      <c r="S15" s="90"/>
      <c r="T15" s="90">
        <v>0.26</v>
      </c>
      <c r="U15" s="90">
        <v>0.25</v>
      </c>
      <c r="V15" s="90"/>
      <c r="W15" s="90">
        <v>0.11</v>
      </c>
      <c r="X15" s="90">
        <v>0.27</v>
      </c>
      <c r="Y15" s="90"/>
      <c r="Z15" s="91">
        <f t="shared" si="1"/>
        <v>23.570000000000004</v>
      </c>
      <c r="AA15" s="91">
        <f t="shared" si="5"/>
        <v>22.420000000000005</v>
      </c>
      <c r="AB15" s="92">
        <f t="shared" si="2"/>
        <v>10.294</v>
      </c>
      <c r="AC15" s="93">
        <v>3.1739999999999999</v>
      </c>
      <c r="AD15" s="94">
        <v>0.55000000000000004</v>
      </c>
      <c r="AE15" s="94">
        <v>4.08</v>
      </c>
      <c r="AF15" s="94">
        <v>2.4900000000000002</v>
      </c>
      <c r="AG15" s="94"/>
      <c r="AH15" s="91">
        <f t="shared" si="3"/>
        <v>33.864000000000004</v>
      </c>
      <c r="AI15" s="91">
        <f t="shared" si="4"/>
        <v>38.904000000000003</v>
      </c>
      <c r="AJ15" s="95">
        <v>1.0657635639728829</v>
      </c>
      <c r="AK15" s="95">
        <v>0.33495430453029162</v>
      </c>
      <c r="AL15" s="95">
        <v>0</v>
      </c>
      <c r="AM15" s="95">
        <v>0.32288007575594529</v>
      </c>
    </row>
    <row r="16" spans="1:41" ht="18.75">
      <c r="A16" s="61">
        <f t="shared" si="0"/>
        <v>9</v>
      </c>
      <c r="B16" s="60" t="s">
        <v>14</v>
      </c>
      <c r="C16" s="66" t="s">
        <v>3</v>
      </c>
      <c r="D16" s="90">
        <v>5.04</v>
      </c>
      <c r="E16" s="90">
        <v>5.93</v>
      </c>
      <c r="F16" s="90">
        <v>1.37</v>
      </c>
      <c r="G16" s="90">
        <v>2.2200000000000002</v>
      </c>
      <c r="H16" s="90">
        <v>3.03</v>
      </c>
      <c r="I16" s="90">
        <v>2.83</v>
      </c>
      <c r="J16" s="90"/>
      <c r="K16" s="90"/>
      <c r="L16" s="90"/>
      <c r="M16" s="90"/>
      <c r="N16" s="90">
        <v>0.11</v>
      </c>
      <c r="O16" s="90">
        <v>5.66</v>
      </c>
      <c r="P16" s="90">
        <v>0.37</v>
      </c>
      <c r="Q16" s="90">
        <v>0.64</v>
      </c>
      <c r="R16" s="90">
        <v>0.49</v>
      </c>
      <c r="S16" s="90"/>
      <c r="T16" s="90">
        <v>0.35</v>
      </c>
      <c r="U16" s="90">
        <v>0.34</v>
      </c>
      <c r="V16" s="90"/>
      <c r="W16" s="90">
        <v>0.14000000000000001</v>
      </c>
      <c r="X16" s="90">
        <v>0.36</v>
      </c>
      <c r="Y16" s="90"/>
      <c r="Z16" s="91">
        <f t="shared" si="1"/>
        <v>23.84</v>
      </c>
      <c r="AA16" s="91">
        <f t="shared" si="5"/>
        <v>22.470000000000002</v>
      </c>
      <c r="AB16" s="92">
        <f t="shared" si="2"/>
        <v>10.06</v>
      </c>
      <c r="AC16" s="94">
        <v>3.1</v>
      </c>
      <c r="AD16" s="94">
        <v>0.91</v>
      </c>
      <c r="AE16" s="94">
        <v>4.25</v>
      </c>
      <c r="AF16" s="94">
        <v>2.4</v>
      </c>
      <c r="AG16" s="94">
        <v>-0.6</v>
      </c>
      <c r="AH16" s="91">
        <f t="shared" si="3"/>
        <v>33.9</v>
      </c>
      <c r="AI16" s="91">
        <f t="shared" si="4"/>
        <v>38.94</v>
      </c>
      <c r="AJ16" s="95">
        <v>1.0458805781079059</v>
      </c>
      <c r="AK16" s="95">
        <v>0.32259542580756606</v>
      </c>
      <c r="AL16" s="95">
        <v>0</v>
      </c>
      <c r="AM16" s="95">
        <v>0.31096670236655727</v>
      </c>
    </row>
    <row r="17" spans="1:39" ht="18.75">
      <c r="A17" s="61">
        <f t="shared" si="0"/>
        <v>10</v>
      </c>
      <c r="B17" s="60" t="s">
        <v>15</v>
      </c>
      <c r="C17" s="66" t="s">
        <v>3</v>
      </c>
      <c r="D17" s="90">
        <v>5.04</v>
      </c>
      <c r="E17" s="90">
        <v>5.66</v>
      </c>
      <c r="F17" s="90">
        <v>1.39</v>
      </c>
      <c r="G17" s="90">
        <v>2.2400000000000002</v>
      </c>
      <c r="H17" s="90">
        <v>3.08</v>
      </c>
      <c r="I17" s="90">
        <v>2.9</v>
      </c>
      <c r="J17" s="90"/>
      <c r="K17" s="90"/>
      <c r="L17" s="90"/>
      <c r="M17" s="90"/>
      <c r="N17" s="90">
        <v>0.11</v>
      </c>
      <c r="O17" s="90">
        <v>5.78</v>
      </c>
      <c r="P17" s="90">
        <v>0.37</v>
      </c>
      <c r="Q17" s="90">
        <v>0.55000000000000004</v>
      </c>
      <c r="R17" s="90">
        <v>0.31</v>
      </c>
      <c r="S17" s="90"/>
      <c r="T17" s="90">
        <v>0.22</v>
      </c>
      <c r="U17" s="90">
        <v>0.21</v>
      </c>
      <c r="V17" s="90"/>
      <c r="W17" s="90">
        <v>0.09</v>
      </c>
      <c r="X17" s="90">
        <v>0.23</v>
      </c>
      <c r="Y17" s="90"/>
      <c r="Z17" s="91">
        <f t="shared" si="1"/>
        <v>23.14</v>
      </c>
      <c r="AA17" s="91">
        <f t="shared" si="5"/>
        <v>21.75</v>
      </c>
      <c r="AB17" s="92">
        <f t="shared" si="2"/>
        <v>10.754</v>
      </c>
      <c r="AC17" s="93">
        <v>3.294</v>
      </c>
      <c r="AD17" s="94">
        <v>0.75</v>
      </c>
      <c r="AE17" s="94">
        <v>4.3499999999999996</v>
      </c>
      <c r="AF17" s="94">
        <v>2.36</v>
      </c>
      <c r="AG17" s="94"/>
      <c r="AH17" s="91">
        <f t="shared" si="3"/>
        <v>33.893999999999998</v>
      </c>
      <c r="AI17" s="91">
        <f t="shared" si="4"/>
        <v>38.933999999999997</v>
      </c>
      <c r="AJ17" s="95">
        <v>1.033596592911832</v>
      </c>
      <c r="AK17" s="95">
        <v>0.31298231846244978</v>
      </c>
      <c r="AL17" s="95">
        <v>0</v>
      </c>
      <c r="AM17" s="95">
        <v>0.30170012246040029</v>
      </c>
    </row>
    <row r="18" spans="1:39" ht="18.75">
      <c r="A18" s="61">
        <f t="shared" si="0"/>
        <v>11</v>
      </c>
      <c r="B18" s="60" t="s">
        <v>16</v>
      </c>
      <c r="C18" s="66" t="s">
        <v>3</v>
      </c>
      <c r="D18" s="90">
        <v>5.04</v>
      </c>
      <c r="E18" s="90">
        <v>5.76</v>
      </c>
      <c r="F18" s="90">
        <v>1.23</v>
      </c>
      <c r="G18" s="90">
        <v>2.19</v>
      </c>
      <c r="H18" s="90">
        <v>3</v>
      </c>
      <c r="I18" s="90">
        <v>2.81</v>
      </c>
      <c r="J18" s="90"/>
      <c r="K18" s="90"/>
      <c r="L18" s="90"/>
      <c r="M18" s="90"/>
      <c r="N18" s="90">
        <v>0.11</v>
      </c>
      <c r="O18" s="90">
        <v>6.31</v>
      </c>
      <c r="P18" s="90">
        <v>0.37</v>
      </c>
      <c r="Q18" s="90">
        <v>0.6</v>
      </c>
      <c r="R18" s="90"/>
      <c r="S18" s="90"/>
      <c r="T18" s="90"/>
      <c r="U18" s="90"/>
      <c r="V18" s="90"/>
      <c r="W18" s="90"/>
      <c r="X18" s="90">
        <v>0.23</v>
      </c>
      <c r="Y18" s="90"/>
      <c r="Z18" s="91">
        <f t="shared" si="1"/>
        <v>22.610000000000003</v>
      </c>
      <c r="AA18" s="91">
        <f t="shared" si="5"/>
        <v>21.380000000000003</v>
      </c>
      <c r="AB18" s="92">
        <f t="shared" si="2"/>
        <v>10.3</v>
      </c>
      <c r="AC18" s="94">
        <v>3.12</v>
      </c>
      <c r="AD18" s="94">
        <v>0.66</v>
      </c>
      <c r="AE18" s="94">
        <v>4.22</v>
      </c>
      <c r="AF18" s="94">
        <v>2.2999999999999998</v>
      </c>
      <c r="AG18" s="94"/>
      <c r="AH18" s="91">
        <f t="shared" si="3"/>
        <v>32.910000000000004</v>
      </c>
      <c r="AI18" s="91">
        <f t="shared" si="4"/>
        <v>37.950000000000003</v>
      </c>
      <c r="AJ18" s="95">
        <v>1.0361198640716711</v>
      </c>
      <c r="AK18" s="95">
        <v>0.3173946028457722</v>
      </c>
      <c r="AL18" s="95">
        <v>0</v>
      </c>
      <c r="AM18" s="95">
        <v>0.30595335550346181</v>
      </c>
    </row>
    <row r="19" spans="1:39" ht="18.75">
      <c r="A19" s="61">
        <f t="shared" si="0"/>
        <v>12</v>
      </c>
      <c r="B19" s="60" t="s">
        <v>17</v>
      </c>
      <c r="C19" s="66" t="s">
        <v>3</v>
      </c>
      <c r="D19" s="90">
        <v>5.04</v>
      </c>
      <c r="E19" s="90">
        <v>5.03</v>
      </c>
      <c r="F19" s="90">
        <v>1.28</v>
      </c>
      <c r="G19" s="90">
        <v>3.08</v>
      </c>
      <c r="H19" s="90">
        <v>3.48</v>
      </c>
      <c r="I19" s="90">
        <v>2.86</v>
      </c>
      <c r="J19" s="90"/>
      <c r="K19" s="90"/>
      <c r="L19" s="90"/>
      <c r="M19" s="90"/>
      <c r="N19" s="90">
        <v>0.11</v>
      </c>
      <c r="O19" s="90">
        <v>2.3199999999999998</v>
      </c>
      <c r="P19" s="90">
        <v>0.37</v>
      </c>
      <c r="Q19" s="90">
        <v>0.81</v>
      </c>
      <c r="R19" s="90"/>
      <c r="S19" s="90"/>
      <c r="T19" s="90"/>
      <c r="U19" s="90"/>
      <c r="V19" s="90"/>
      <c r="W19" s="90"/>
      <c r="X19" s="90">
        <v>0.7</v>
      </c>
      <c r="Y19" s="90"/>
      <c r="Z19" s="91">
        <f t="shared" si="1"/>
        <v>20.04</v>
      </c>
      <c r="AA19" s="91">
        <f t="shared" si="5"/>
        <v>18.759999999999998</v>
      </c>
      <c r="AB19" s="92">
        <f t="shared" si="2"/>
        <v>13.15</v>
      </c>
      <c r="AC19" s="94">
        <v>6.16</v>
      </c>
      <c r="AD19" s="94"/>
      <c r="AE19" s="94">
        <v>4.29</v>
      </c>
      <c r="AF19" s="94">
        <v>2.94</v>
      </c>
      <c r="AG19" s="94">
        <v>-0.24</v>
      </c>
      <c r="AH19" s="91">
        <f t="shared" si="3"/>
        <v>33.19</v>
      </c>
      <c r="AI19" s="91">
        <f t="shared" si="4"/>
        <v>38.229999999999997</v>
      </c>
      <c r="AJ19" s="95">
        <v>1.0776229746340371</v>
      </c>
      <c r="AK19" s="95">
        <v>0.36034137445524633</v>
      </c>
      <c r="AL19" s="95">
        <v>0</v>
      </c>
      <c r="AM19" s="95">
        <v>0.34735200804559163</v>
      </c>
    </row>
    <row r="20" spans="1:39" ht="18.75">
      <c r="A20" s="61">
        <f t="shared" si="0"/>
        <v>13</v>
      </c>
      <c r="B20" s="60" t="s">
        <v>18</v>
      </c>
      <c r="C20" s="66" t="s">
        <v>3</v>
      </c>
      <c r="D20" s="90">
        <v>5.04</v>
      </c>
      <c r="E20" s="90">
        <v>5.88</v>
      </c>
      <c r="F20" s="90">
        <v>1.33</v>
      </c>
      <c r="G20" s="90">
        <v>3.06</v>
      </c>
      <c r="H20" s="90">
        <v>3.29</v>
      </c>
      <c r="I20" s="90">
        <v>3.06</v>
      </c>
      <c r="J20" s="90"/>
      <c r="K20" s="90"/>
      <c r="L20" s="90"/>
      <c r="M20" s="90"/>
      <c r="N20" s="90">
        <v>0.11</v>
      </c>
      <c r="O20" s="90">
        <v>3.22</v>
      </c>
      <c r="P20" s="90">
        <v>0.37</v>
      </c>
      <c r="Q20" s="90">
        <v>0.69</v>
      </c>
      <c r="R20" s="90">
        <v>0.5</v>
      </c>
      <c r="S20" s="90"/>
      <c r="T20" s="90">
        <v>0.36</v>
      </c>
      <c r="U20" s="90">
        <v>0.34</v>
      </c>
      <c r="V20" s="90"/>
      <c r="W20" s="90">
        <v>0.14000000000000001</v>
      </c>
      <c r="X20" s="90">
        <v>0.37</v>
      </c>
      <c r="Y20" s="90"/>
      <c r="Z20" s="91">
        <f t="shared" si="1"/>
        <v>22.72</v>
      </c>
      <c r="AA20" s="91">
        <f t="shared" si="5"/>
        <v>21.390000000000004</v>
      </c>
      <c r="AB20" s="92">
        <f t="shared" si="2"/>
        <v>11.19</v>
      </c>
      <c r="AC20" s="94">
        <v>4.12</v>
      </c>
      <c r="AD20" s="94">
        <v>0.8</v>
      </c>
      <c r="AE20" s="94">
        <v>4.58</v>
      </c>
      <c r="AF20" s="94">
        <v>2.27</v>
      </c>
      <c r="AG20" s="94">
        <v>-0.57999999999999996</v>
      </c>
      <c r="AH20" s="91">
        <f t="shared" si="3"/>
        <v>33.909999999999997</v>
      </c>
      <c r="AI20" s="91">
        <f t="shared" si="4"/>
        <v>38.949999999999996</v>
      </c>
      <c r="AJ20" s="95">
        <v>1.0013541612124386</v>
      </c>
      <c r="AK20" s="95">
        <v>0.30824825901038488</v>
      </c>
      <c r="AL20" s="95">
        <v>0</v>
      </c>
      <c r="AM20" s="95">
        <v>0.29713671350030546</v>
      </c>
    </row>
    <row r="21" spans="1:39" ht="18.75">
      <c r="A21" s="61">
        <f t="shared" si="0"/>
        <v>14</v>
      </c>
      <c r="B21" s="60" t="s">
        <v>19</v>
      </c>
      <c r="C21" s="66" t="s">
        <v>3</v>
      </c>
      <c r="D21" s="90">
        <v>5.04</v>
      </c>
      <c r="E21" s="90">
        <v>5.24</v>
      </c>
      <c r="F21" s="90">
        <v>1.49</v>
      </c>
      <c r="G21" s="90">
        <v>2.54</v>
      </c>
      <c r="H21" s="90">
        <v>3.49</v>
      </c>
      <c r="I21" s="90">
        <v>2.75</v>
      </c>
      <c r="J21" s="90"/>
      <c r="K21" s="90"/>
      <c r="L21" s="90"/>
      <c r="M21" s="90"/>
      <c r="N21" s="90">
        <v>0.1</v>
      </c>
      <c r="O21" s="90">
        <v>5.03</v>
      </c>
      <c r="P21" s="90">
        <v>0.37</v>
      </c>
      <c r="Q21" s="90">
        <v>0.89</v>
      </c>
      <c r="R21" s="90">
        <v>0.52</v>
      </c>
      <c r="S21" s="90"/>
      <c r="T21" s="90">
        <v>0.37</v>
      </c>
      <c r="U21" s="90">
        <v>0.35</v>
      </c>
      <c r="V21" s="90"/>
      <c r="W21" s="90">
        <v>0.15</v>
      </c>
      <c r="X21" s="90">
        <v>0.38</v>
      </c>
      <c r="Y21" s="90"/>
      <c r="Z21" s="91">
        <f t="shared" si="1"/>
        <v>23.67</v>
      </c>
      <c r="AA21" s="91">
        <f t="shared" si="5"/>
        <v>22.18</v>
      </c>
      <c r="AB21" s="92">
        <f t="shared" si="2"/>
        <v>10.234999999999999</v>
      </c>
      <c r="AC21" s="94">
        <v>3.415</v>
      </c>
      <c r="AD21" s="94">
        <v>0.83</v>
      </c>
      <c r="AE21" s="94">
        <v>4.12</v>
      </c>
      <c r="AF21" s="94">
        <v>2.66</v>
      </c>
      <c r="AG21" s="94">
        <v>-0.79</v>
      </c>
      <c r="AH21" s="91">
        <f t="shared" si="3"/>
        <v>33.905000000000001</v>
      </c>
      <c r="AI21" s="91">
        <f t="shared" si="4"/>
        <v>38.945</v>
      </c>
      <c r="AJ21" s="95">
        <v>0.95558482342756501</v>
      </c>
      <c r="AK21" s="95">
        <v>0.29467045105824052</v>
      </c>
      <c r="AL21" s="95">
        <v>0</v>
      </c>
      <c r="AM21" s="95">
        <v>0.28404835010000296</v>
      </c>
    </row>
    <row r="22" spans="1:39" ht="18.75">
      <c r="A22" s="61">
        <f t="shared" si="0"/>
        <v>15</v>
      </c>
      <c r="B22" s="60" t="s">
        <v>20</v>
      </c>
      <c r="C22" s="66" t="s">
        <v>3</v>
      </c>
      <c r="D22" s="90">
        <v>5.04</v>
      </c>
      <c r="E22" s="90">
        <v>5.1100000000000003</v>
      </c>
      <c r="F22" s="90">
        <v>1.38</v>
      </c>
      <c r="G22" s="90">
        <v>3.12</v>
      </c>
      <c r="H22" s="90">
        <v>3.27</v>
      </c>
      <c r="I22" s="90">
        <v>2.5299999999999998</v>
      </c>
      <c r="J22" s="90"/>
      <c r="K22" s="90"/>
      <c r="L22" s="90"/>
      <c r="M22" s="90"/>
      <c r="N22" s="90">
        <v>0.11</v>
      </c>
      <c r="O22" s="90">
        <v>7.07</v>
      </c>
      <c r="P22" s="90">
        <v>0.37</v>
      </c>
      <c r="Q22" s="90">
        <v>0.53</v>
      </c>
      <c r="R22" s="90">
        <v>0.51</v>
      </c>
      <c r="S22" s="90"/>
      <c r="T22" s="90">
        <v>0.36</v>
      </c>
      <c r="U22" s="90">
        <v>0.35</v>
      </c>
      <c r="V22" s="90"/>
      <c r="W22" s="90">
        <v>0.15</v>
      </c>
      <c r="X22" s="90">
        <v>0.37</v>
      </c>
      <c r="Y22" s="90"/>
      <c r="Z22" s="91">
        <f t="shared" si="1"/>
        <v>25.23</v>
      </c>
      <c r="AA22" s="91">
        <f t="shared" si="5"/>
        <v>23.850000000000005</v>
      </c>
      <c r="AB22" s="92">
        <f t="shared" si="2"/>
        <v>8.68</v>
      </c>
      <c r="AC22" s="94">
        <v>2.71</v>
      </c>
      <c r="AD22" s="94">
        <v>0.72</v>
      </c>
      <c r="AE22" s="94">
        <v>3.8</v>
      </c>
      <c r="AF22" s="94">
        <v>2.11</v>
      </c>
      <c r="AG22" s="94">
        <v>-0.66</v>
      </c>
      <c r="AH22" s="91">
        <f t="shared" si="3"/>
        <v>33.909999999999997</v>
      </c>
      <c r="AI22" s="91">
        <f t="shared" si="4"/>
        <v>38.949999999999996</v>
      </c>
      <c r="AJ22" s="95">
        <v>0.98485323951920278</v>
      </c>
      <c r="AK22" s="95">
        <v>0.30195254881266492</v>
      </c>
      <c r="AL22" s="95">
        <v>0</v>
      </c>
      <c r="AM22" s="95">
        <v>0.29106794722955148</v>
      </c>
    </row>
    <row r="23" spans="1:39" ht="18.75">
      <c r="A23" s="61">
        <f t="shared" si="0"/>
        <v>16</v>
      </c>
      <c r="B23" s="60" t="s">
        <v>21</v>
      </c>
      <c r="C23" s="66" t="s">
        <v>3</v>
      </c>
      <c r="D23" s="90">
        <v>5.04</v>
      </c>
      <c r="E23" s="90">
        <v>5.73</v>
      </c>
      <c r="F23" s="90">
        <v>1.46</v>
      </c>
      <c r="G23" s="90">
        <v>2.5</v>
      </c>
      <c r="H23" s="90">
        <v>3.47</v>
      </c>
      <c r="I23" s="90">
        <v>2.77</v>
      </c>
      <c r="J23" s="90"/>
      <c r="K23" s="90"/>
      <c r="L23" s="90"/>
      <c r="M23" s="90"/>
      <c r="N23" s="90">
        <v>0.11</v>
      </c>
      <c r="O23" s="90">
        <v>4</v>
      </c>
      <c r="P23" s="90">
        <v>0.37</v>
      </c>
      <c r="Q23" s="90">
        <v>0.9</v>
      </c>
      <c r="R23" s="90">
        <v>0.52</v>
      </c>
      <c r="S23" s="90"/>
      <c r="T23" s="90">
        <v>0.37</v>
      </c>
      <c r="U23" s="90">
        <v>0.36</v>
      </c>
      <c r="V23" s="90"/>
      <c r="W23" s="90">
        <v>0.15</v>
      </c>
      <c r="X23" s="90">
        <v>0.38</v>
      </c>
      <c r="Y23" s="90"/>
      <c r="Z23" s="91">
        <f t="shared" si="1"/>
        <v>23.09</v>
      </c>
      <c r="AA23" s="91">
        <f t="shared" si="5"/>
        <v>21.629999999999995</v>
      </c>
      <c r="AB23" s="92">
        <f t="shared" si="2"/>
        <v>10.799999999999999</v>
      </c>
      <c r="AC23" s="94">
        <v>3.84</v>
      </c>
      <c r="AD23" s="94">
        <v>0.9</v>
      </c>
      <c r="AE23" s="94">
        <v>4.16</v>
      </c>
      <c r="AF23" s="94">
        <v>2.69</v>
      </c>
      <c r="AG23" s="94">
        <v>-0.79</v>
      </c>
      <c r="AH23" s="91">
        <f t="shared" si="3"/>
        <v>33.89</v>
      </c>
      <c r="AI23" s="91">
        <f t="shared" si="4"/>
        <v>38.93</v>
      </c>
      <c r="AJ23" s="95">
        <v>1.0200628016372413</v>
      </c>
      <c r="AK23" s="95">
        <v>0.32263349990836343</v>
      </c>
      <c r="AL23" s="95">
        <v>0</v>
      </c>
      <c r="AM23" s="95">
        <v>0.31100340399535714</v>
      </c>
    </row>
    <row r="24" spans="1:39" ht="18.75">
      <c r="A24" s="61">
        <f t="shared" si="0"/>
        <v>17</v>
      </c>
      <c r="B24" s="60" t="s">
        <v>22</v>
      </c>
      <c r="C24" s="66" t="s">
        <v>3</v>
      </c>
      <c r="D24" s="90">
        <v>5.04</v>
      </c>
      <c r="E24" s="90">
        <v>5.4</v>
      </c>
      <c r="F24" s="90">
        <v>1.48</v>
      </c>
      <c r="G24" s="90">
        <v>2.23</v>
      </c>
      <c r="H24" s="90">
        <v>3.06</v>
      </c>
      <c r="I24" s="90">
        <v>2.54</v>
      </c>
      <c r="J24" s="90"/>
      <c r="K24" s="90"/>
      <c r="L24" s="90"/>
      <c r="M24" s="90"/>
      <c r="N24" s="90">
        <v>0.1</v>
      </c>
      <c r="O24" s="90">
        <v>6.8</v>
      </c>
      <c r="P24" s="90">
        <v>0.37</v>
      </c>
      <c r="Q24" s="90">
        <v>0.54</v>
      </c>
      <c r="R24" s="90">
        <v>0.37</v>
      </c>
      <c r="S24" s="90"/>
      <c r="T24" s="90">
        <v>0.26</v>
      </c>
      <c r="U24" s="90">
        <v>0.25</v>
      </c>
      <c r="V24" s="90"/>
      <c r="W24" s="90">
        <v>0.11</v>
      </c>
      <c r="X24" s="90">
        <v>0.27</v>
      </c>
      <c r="Y24" s="90"/>
      <c r="Z24" s="91">
        <f t="shared" si="1"/>
        <v>23.78</v>
      </c>
      <c r="AA24" s="91">
        <f t="shared" si="5"/>
        <v>22.3</v>
      </c>
      <c r="AB24" s="92">
        <f t="shared" si="2"/>
        <v>10.135</v>
      </c>
      <c r="AC24" s="93">
        <v>3.3250000000000002</v>
      </c>
      <c r="AD24" s="94">
        <v>0.84</v>
      </c>
      <c r="AE24" s="94">
        <v>3.81</v>
      </c>
      <c r="AF24" s="94">
        <v>2.4300000000000002</v>
      </c>
      <c r="AG24" s="94">
        <v>-0.27</v>
      </c>
      <c r="AH24" s="91">
        <f t="shared" si="3"/>
        <v>33.914999999999999</v>
      </c>
      <c r="AI24" s="91">
        <f t="shared" si="4"/>
        <v>38.954999999999998</v>
      </c>
      <c r="AJ24" s="95">
        <v>1.0122156677272336</v>
      </c>
      <c r="AK24" s="95">
        <v>0.34613089861553015</v>
      </c>
      <c r="AL24" s="95">
        <v>0</v>
      </c>
      <c r="AM24" s="95">
        <v>0.33365378278441826</v>
      </c>
    </row>
    <row r="25" spans="1:39" ht="18.75">
      <c r="A25" s="61">
        <f t="shared" si="0"/>
        <v>18</v>
      </c>
      <c r="B25" s="60" t="s">
        <v>23</v>
      </c>
      <c r="C25" s="66" t="s">
        <v>3</v>
      </c>
      <c r="D25" s="90">
        <v>5.04</v>
      </c>
      <c r="E25" s="90">
        <v>5.43</v>
      </c>
      <c r="F25" s="90">
        <v>1.4</v>
      </c>
      <c r="G25" s="90">
        <v>2.33</v>
      </c>
      <c r="H25" s="90">
        <v>3.22</v>
      </c>
      <c r="I25" s="90">
        <v>2.59</v>
      </c>
      <c r="J25" s="90"/>
      <c r="K25" s="90"/>
      <c r="L25" s="90"/>
      <c r="M25" s="90"/>
      <c r="N25" s="90">
        <v>0.11</v>
      </c>
      <c r="O25" s="90">
        <v>6.04</v>
      </c>
      <c r="P25" s="90">
        <v>0.37</v>
      </c>
      <c r="Q25" s="90">
        <v>0.45</v>
      </c>
      <c r="R25" s="90">
        <v>0.53</v>
      </c>
      <c r="S25" s="90"/>
      <c r="T25" s="90">
        <v>0.38</v>
      </c>
      <c r="U25" s="90">
        <v>0.36</v>
      </c>
      <c r="V25" s="90"/>
      <c r="W25" s="90">
        <v>0.15</v>
      </c>
      <c r="X25" s="90">
        <v>0.39</v>
      </c>
      <c r="Y25" s="90"/>
      <c r="Z25" s="91">
        <f t="shared" si="1"/>
        <v>23.75</v>
      </c>
      <c r="AA25" s="91">
        <f t="shared" si="5"/>
        <v>22.349999999999998</v>
      </c>
      <c r="AB25" s="92">
        <f t="shared" si="2"/>
        <v>10.145</v>
      </c>
      <c r="AC25" s="93">
        <v>3.625</v>
      </c>
      <c r="AD25" s="94">
        <v>0.86</v>
      </c>
      <c r="AE25" s="94">
        <v>3.88</v>
      </c>
      <c r="AF25" s="94">
        <v>2.5299999999999998</v>
      </c>
      <c r="AG25" s="94">
        <v>-0.75</v>
      </c>
      <c r="AH25" s="91">
        <f t="shared" si="3"/>
        <v>33.894999999999996</v>
      </c>
      <c r="AI25" s="91">
        <f t="shared" si="4"/>
        <v>38.934999999999995</v>
      </c>
      <c r="AJ25" s="95">
        <v>1.0441648142462387</v>
      </c>
      <c r="AK25" s="95">
        <v>0.33297952962849248</v>
      </c>
      <c r="AL25" s="95">
        <v>0</v>
      </c>
      <c r="AM25" s="95">
        <v>0.32097648633712</v>
      </c>
    </row>
    <row r="26" spans="1:39" ht="18.75">
      <c r="A26" s="61">
        <f t="shared" si="0"/>
        <v>19</v>
      </c>
      <c r="B26" s="60" t="s">
        <v>24</v>
      </c>
      <c r="C26" s="66" t="s">
        <v>3</v>
      </c>
      <c r="D26" s="90">
        <v>5.04</v>
      </c>
      <c r="E26" s="90">
        <v>5.87</v>
      </c>
      <c r="F26" s="90">
        <v>1.38</v>
      </c>
      <c r="G26" s="90">
        <v>2.2799999999999998</v>
      </c>
      <c r="H26" s="90">
        <v>3.19</v>
      </c>
      <c r="I26" s="90">
        <v>2.96</v>
      </c>
      <c r="J26" s="90"/>
      <c r="K26" s="90"/>
      <c r="L26" s="90"/>
      <c r="M26" s="90"/>
      <c r="N26" s="90">
        <v>0.1</v>
      </c>
      <c r="O26" s="90">
        <v>4.0199999999999996</v>
      </c>
      <c r="P26" s="90">
        <v>0.37</v>
      </c>
      <c r="Q26" s="90">
        <v>0.49</v>
      </c>
      <c r="R26" s="90">
        <v>0.37</v>
      </c>
      <c r="S26" s="90"/>
      <c r="T26" s="90">
        <v>0.26</v>
      </c>
      <c r="U26" s="90">
        <v>0.26</v>
      </c>
      <c r="V26" s="90"/>
      <c r="W26" s="90">
        <v>0.11</v>
      </c>
      <c r="X26" s="90">
        <v>0.27</v>
      </c>
      <c r="Y26" s="90"/>
      <c r="Z26" s="91">
        <f t="shared" si="1"/>
        <v>21.93</v>
      </c>
      <c r="AA26" s="91">
        <f t="shared" si="5"/>
        <v>20.550000000000004</v>
      </c>
      <c r="AB26" s="92">
        <f t="shared" si="2"/>
        <v>11.98</v>
      </c>
      <c r="AC26" s="94">
        <v>4.37</v>
      </c>
      <c r="AD26" s="94">
        <v>0.91</v>
      </c>
      <c r="AE26" s="94">
        <v>4.4400000000000004</v>
      </c>
      <c r="AF26" s="94">
        <v>2.4500000000000002</v>
      </c>
      <c r="AG26" s="94">
        <v>-0.19</v>
      </c>
      <c r="AH26" s="91">
        <f t="shared" si="3"/>
        <v>33.909999999999997</v>
      </c>
      <c r="AI26" s="91">
        <f t="shared" si="4"/>
        <v>38.949999999999996</v>
      </c>
      <c r="AJ26" s="95">
        <v>1.0197448760956607</v>
      </c>
      <c r="AK26" s="95">
        <v>0.34926427875771027</v>
      </c>
      <c r="AL26" s="95">
        <v>0</v>
      </c>
      <c r="AM26" s="95">
        <v>0.33667421274753817</v>
      </c>
    </row>
    <row r="27" spans="1:39" ht="18.75">
      <c r="A27" s="61">
        <f t="shared" si="0"/>
        <v>20</v>
      </c>
      <c r="B27" s="60" t="s">
        <v>25</v>
      </c>
      <c r="C27" s="66" t="s">
        <v>3</v>
      </c>
      <c r="D27" s="90">
        <v>5.04</v>
      </c>
      <c r="E27" s="90">
        <v>5.28</v>
      </c>
      <c r="F27" s="90">
        <v>1.43</v>
      </c>
      <c r="G27" s="90">
        <v>2.35</v>
      </c>
      <c r="H27" s="90">
        <v>3.25</v>
      </c>
      <c r="I27" s="90">
        <v>2.56</v>
      </c>
      <c r="J27" s="90"/>
      <c r="K27" s="90"/>
      <c r="L27" s="90"/>
      <c r="M27" s="90"/>
      <c r="N27" s="90">
        <v>0.11</v>
      </c>
      <c r="O27" s="90">
        <v>5.68</v>
      </c>
      <c r="P27" s="90">
        <v>0.37</v>
      </c>
      <c r="Q27" s="90">
        <v>1.1399999999999999</v>
      </c>
      <c r="R27" s="90">
        <v>0.52</v>
      </c>
      <c r="S27" s="90"/>
      <c r="T27" s="90">
        <v>0.37</v>
      </c>
      <c r="U27" s="90">
        <v>0.36</v>
      </c>
      <c r="V27" s="90"/>
      <c r="W27" s="90">
        <v>0.15</v>
      </c>
      <c r="X27" s="90">
        <v>0.38</v>
      </c>
      <c r="Y27" s="90"/>
      <c r="Z27" s="91">
        <f t="shared" si="1"/>
        <v>23.95</v>
      </c>
      <c r="AA27" s="91">
        <f t="shared" si="5"/>
        <v>22.52</v>
      </c>
      <c r="AB27" s="92">
        <f t="shared" si="2"/>
        <v>9.9699999999999989</v>
      </c>
      <c r="AC27" s="94">
        <v>3.55</v>
      </c>
      <c r="AD27" s="94">
        <v>0.8</v>
      </c>
      <c r="AE27" s="94">
        <v>3.85</v>
      </c>
      <c r="AF27" s="94">
        <v>2.5099999999999998</v>
      </c>
      <c r="AG27" s="94">
        <v>-0.74</v>
      </c>
      <c r="AH27" s="91">
        <f t="shared" si="3"/>
        <v>33.92</v>
      </c>
      <c r="AI27" s="91">
        <f t="shared" si="4"/>
        <v>38.96</v>
      </c>
      <c r="AJ27" s="95">
        <v>1.0159301742623297</v>
      </c>
      <c r="AK27" s="95">
        <v>0.31779131285675449</v>
      </c>
      <c r="AL27" s="95">
        <v>0</v>
      </c>
      <c r="AM27" s="95">
        <v>0.3063357651535743</v>
      </c>
    </row>
    <row r="28" spans="1:39" ht="18.75">
      <c r="A28" s="61">
        <f t="shared" si="0"/>
        <v>21</v>
      </c>
      <c r="B28" s="60" t="s">
        <v>26</v>
      </c>
      <c r="C28" s="66" t="s">
        <v>3</v>
      </c>
      <c r="D28" s="90">
        <v>5.04</v>
      </c>
      <c r="E28" s="90">
        <v>5.37</v>
      </c>
      <c r="F28" s="90">
        <v>1.34</v>
      </c>
      <c r="G28" s="90">
        <v>3.13</v>
      </c>
      <c r="H28" s="90">
        <v>3.3</v>
      </c>
      <c r="I28" s="90">
        <v>2.56</v>
      </c>
      <c r="J28" s="90"/>
      <c r="K28" s="90"/>
      <c r="L28" s="90"/>
      <c r="M28" s="90"/>
      <c r="N28" s="90">
        <v>0.11</v>
      </c>
      <c r="O28" s="90">
        <v>6.96</v>
      </c>
      <c r="P28" s="90">
        <v>0.37</v>
      </c>
      <c r="Q28" s="90">
        <v>0.69</v>
      </c>
      <c r="R28" s="90">
        <v>0.51</v>
      </c>
      <c r="S28" s="90"/>
      <c r="T28" s="90">
        <v>0.36</v>
      </c>
      <c r="U28" s="90">
        <v>0.35</v>
      </c>
      <c r="V28" s="90"/>
      <c r="W28" s="90">
        <v>0.15</v>
      </c>
      <c r="X28" s="90">
        <v>0.38</v>
      </c>
      <c r="Y28" s="90"/>
      <c r="Z28" s="91">
        <f t="shared" si="1"/>
        <v>25.580000000000002</v>
      </c>
      <c r="AA28" s="91">
        <f t="shared" si="5"/>
        <v>24.240000000000002</v>
      </c>
      <c r="AB28" s="92">
        <f t="shared" si="2"/>
        <v>8.3149999999999995</v>
      </c>
      <c r="AC28" s="93">
        <v>2.605</v>
      </c>
      <c r="AD28" s="94">
        <v>0.38</v>
      </c>
      <c r="AE28" s="94">
        <v>3.84</v>
      </c>
      <c r="AF28" s="94">
        <v>2.13</v>
      </c>
      <c r="AG28" s="94">
        <v>-0.64</v>
      </c>
      <c r="AH28" s="91">
        <f t="shared" si="3"/>
        <v>33.895000000000003</v>
      </c>
      <c r="AI28" s="91">
        <f t="shared" si="4"/>
        <v>38.935000000000002</v>
      </c>
      <c r="AJ28" s="95">
        <v>1.0301787706164813</v>
      </c>
      <c r="AK28" s="95">
        <v>0.32107037370634378</v>
      </c>
      <c r="AL28" s="95">
        <v>0</v>
      </c>
      <c r="AM28" s="95">
        <v>0.30949662441468578</v>
      </c>
    </row>
    <row r="29" spans="1:39" ht="18.75">
      <c r="A29" s="61">
        <f t="shared" si="0"/>
        <v>22</v>
      </c>
      <c r="B29" s="60" t="s">
        <v>27</v>
      </c>
      <c r="C29" s="66" t="s">
        <v>3</v>
      </c>
      <c r="D29" s="90">
        <v>5.04</v>
      </c>
      <c r="E29" s="90">
        <v>4.4800000000000004</v>
      </c>
      <c r="F29" s="90">
        <v>1.32</v>
      </c>
      <c r="G29" s="90">
        <v>3.08</v>
      </c>
      <c r="H29" s="90">
        <v>3.23</v>
      </c>
      <c r="I29" s="90">
        <v>2.5</v>
      </c>
      <c r="J29" s="90"/>
      <c r="K29" s="90"/>
      <c r="L29" s="90"/>
      <c r="M29" s="90"/>
      <c r="N29" s="90">
        <v>0.11</v>
      </c>
      <c r="O29" s="90">
        <v>7.53</v>
      </c>
      <c r="P29" s="90">
        <v>0.37</v>
      </c>
      <c r="Q29" s="90">
        <v>0.6</v>
      </c>
      <c r="R29" s="90">
        <v>0.5</v>
      </c>
      <c r="S29" s="90"/>
      <c r="T29" s="90">
        <v>0.35</v>
      </c>
      <c r="U29" s="90">
        <v>0.34</v>
      </c>
      <c r="V29" s="90"/>
      <c r="W29" s="90">
        <v>0.14000000000000001</v>
      </c>
      <c r="X29" s="90">
        <v>0.37</v>
      </c>
      <c r="Y29" s="90"/>
      <c r="Z29" s="91">
        <f t="shared" si="1"/>
        <v>24.920000000000005</v>
      </c>
      <c r="AA29" s="91">
        <f t="shared" si="5"/>
        <v>23.600000000000005</v>
      </c>
      <c r="AB29" s="92">
        <f t="shared" si="2"/>
        <v>8.99</v>
      </c>
      <c r="AC29" s="94">
        <v>2.74</v>
      </c>
      <c r="AD29" s="94">
        <v>0.88</v>
      </c>
      <c r="AE29" s="94">
        <v>3.75</v>
      </c>
      <c r="AF29" s="94">
        <v>2.1800000000000002</v>
      </c>
      <c r="AG29" s="94">
        <v>-0.56000000000000005</v>
      </c>
      <c r="AH29" s="91">
        <f t="shared" si="3"/>
        <v>33.910000000000004</v>
      </c>
      <c r="AI29" s="91">
        <f t="shared" si="4"/>
        <v>38.950000000000003</v>
      </c>
      <c r="AJ29" s="95">
        <v>0.95552965104454191</v>
      </c>
      <c r="AK29" s="95">
        <v>0.27029589098410672</v>
      </c>
      <c r="AL29" s="95">
        <v>0</v>
      </c>
      <c r="AM29" s="95">
        <v>0.26055242932271844</v>
      </c>
    </row>
    <row r="30" spans="1:39" ht="18.75">
      <c r="A30" s="61">
        <f t="shared" si="0"/>
        <v>23</v>
      </c>
      <c r="B30" s="60" t="s">
        <v>28</v>
      </c>
      <c r="C30" s="66" t="s">
        <v>3</v>
      </c>
      <c r="D30" s="90">
        <v>5.04</v>
      </c>
      <c r="E30" s="90">
        <v>5.28</v>
      </c>
      <c r="F30" s="90">
        <v>1.25</v>
      </c>
      <c r="G30" s="90">
        <v>3.02</v>
      </c>
      <c r="H30" s="90">
        <v>3.16</v>
      </c>
      <c r="I30" s="90">
        <v>2.44</v>
      </c>
      <c r="J30" s="90"/>
      <c r="K30" s="90"/>
      <c r="L30" s="90"/>
      <c r="M30" s="90"/>
      <c r="N30" s="90">
        <v>0.11</v>
      </c>
      <c r="O30" s="90">
        <v>7.45</v>
      </c>
      <c r="P30" s="90">
        <v>0.37</v>
      </c>
      <c r="Q30" s="90">
        <v>0.63</v>
      </c>
      <c r="R30" s="90"/>
      <c r="S30" s="90"/>
      <c r="T30" s="90"/>
      <c r="U30" s="90"/>
      <c r="V30" s="90"/>
      <c r="W30" s="90"/>
      <c r="X30" s="90">
        <v>0.37</v>
      </c>
      <c r="Y30" s="90"/>
      <c r="Z30" s="91">
        <f t="shared" si="1"/>
        <v>24.080000000000002</v>
      </c>
      <c r="AA30" s="91">
        <f t="shared" si="5"/>
        <v>22.830000000000002</v>
      </c>
      <c r="AB30" s="92">
        <f t="shared" si="2"/>
        <v>8.9939999999999998</v>
      </c>
      <c r="AC30" s="93">
        <v>2.6040000000000001</v>
      </c>
      <c r="AD30" s="94">
        <v>0.69</v>
      </c>
      <c r="AE30" s="94">
        <v>3.65</v>
      </c>
      <c r="AF30" s="94">
        <v>2.0499999999999998</v>
      </c>
      <c r="AG30" s="94"/>
      <c r="AH30" s="91">
        <f t="shared" si="3"/>
        <v>33.073999999999998</v>
      </c>
      <c r="AI30" s="91">
        <f t="shared" si="4"/>
        <v>38.113999999999997</v>
      </c>
      <c r="AJ30" s="95">
        <v>1.0422911030560222</v>
      </c>
      <c r="AK30" s="95">
        <v>0.32886363363097876</v>
      </c>
      <c r="AL30" s="95">
        <v>0</v>
      </c>
      <c r="AM30" s="95">
        <v>0.31700895765184339</v>
      </c>
    </row>
    <row r="31" spans="1:39" ht="18.75">
      <c r="A31" s="61">
        <f t="shared" si="0"/>
        <v>24</v>
      </c>
      <c r="B31" s="60" t="s">
        <v>29</v>
      </c>
      <c r="C31" s="66" t="s">
        <v>3</v>
      </c>
      <c r="D31" s="90">
        <v>5.04</v>
      </c>
      <c r="E31" s="90">
        <v>4.53</v>
      </c>
      <c r="F31" s="90">
        <v>1.38</v>
      </c>
      <c r="G31" s="90">
        <v>3.04</v>
      </c>
      <c r="H31" s="90">
        <v>3.19</v>
      </c>
      <c r="I31" s="90">
        <v>2.48</v>
      </c>
      <c r="J31" s="90"/>
      <c r="K31" s="90"/>
      <c r="L31" s="90"/>
      <c r="M31" s="90"/>
      <c r="N31" s="90">
        <v>0.11</v>
      </c>
      <c r="O31" s="90">
        <v>7.55</v>
      </c>
      <c r="P31" s="90">
        <v>0.37</v>
      </c>
      <c r="Q31" s="90">
        <v>0.66</v>
      </c>
      <c r="R31" s="90">
        <v>0.5</v>
      </c>
      <c r="S31" s="90"/>
      <c r="T31" s="90">
        <v>0.36</v>
      </c>
      <c r="U31" s="90">
        <v>0.34</v>
      </c>
      <c r="V31" s="90"/>
      <c r="W31" s="90">
        <v>0.14000000000000001</v>
      </c>
      <c r="X31" s="90">
        <v>0.37</v>
      </c>
      <c r="Y31" s="90"/>
      <c r="Z31" s="91">
        <f t="shared" si="1"/>
        <v>25.02</v>
      </c>
      <c r="AA31" s="91">
        <f t="shared" si="5"/>
        <v>23.64</v>
      </c>
      <c r="AB31" s="92">
        <f t="shared" si="2"/>
        <v>8.8849999999999998</v>
      </c>
      <c r="AC31" s="93">
        <v>2.7349999999999999</v>
      </c>
      <c r="AD31" s="94">
        <v>0.89</v>
      </c>
      <c r="AE31" s="94">
        <v>3.72</v>
      </c>
      <c r="AF31" s="94">
        <v>2.17</v>
      </c>
      <c r="AG31" s="94">
        <v>-0.63</v>
      </c>
      <c r="AH31" s="91">
        <f t="shared" si="3"/>
        <v>33.905000000000001</v>
      </c>
      <c r="AI31" s="91">
        <f t="shared" si="4"/>
        <v>38.945</v>
      </c>
      <c r="AJ31" s="95">
        <v>0.96325417407267111</v>
      </c>
      <c r="AK31" s="95">
        <v>0.27656066668609225</v>
      </c>
      <c r="AL31" s="95">
        <v>0</v>
      </c>
      <c r="AM31" s="95">
        <v>0.26659137620560036</v>
      </c>
    </row>
    <row r="32" spans="1:39" ht="18.75">
      <c r="A32" s="61">
        <f t="shared" si="0"/>
        <v>25</v>
      </c>
      <c r="B32" s="60" t="s">
        <v>30</v>
      </c>
      <c r="C32" s="66" t="s">
        <v>3</v>
      </c>
      <c r="D32" s="90">
        <v>5.04</v>
      </c>
      <c r="E32" s="90">
        <v>4.37</v>
      </c>
      <c r="F32" s="90">
        <v>0.9</v>
      </c>
      <c r="G32" s="90">
        <v>2.86</v>
      </c>
      <c r="H32" s="90">
        <v>3.07</v>
      </c>
      <c r="I32" s="90">
        <v>2.5</v>
      </c>
      <c r="J32" s="90"/>
      <c r="K32" s="90"/>
      <c r="L32" s="90"/>
      <c r="M32" s="90"/>
      <c r="N32" s="90">
        <v>0.11</v>
      </c>
      <c r="O32" s="90">
        <v>6.06</v>
      </c>
      <c r="P32" s="90">
        <v>0.37</v>
      </c>
      <c r="Q32" s="90">
        <v>0.46</v>
      </c>
      <c r="R32" s="90"/>
      <c r="S32" s="90"/>
      <c r="T32" s="90"/>
      <c r="U32" s="90"/>
      <c r="V32" s="90"/>
      <c r="W32" s="90"/>
      <c r="X32" s="90">
        <v>0.67</v>
      </c>
      <c r="Y32" s="90"/>
      <c r="Z32" s="91">
        <f t="shared" si="1"/>
        <v>21.370000000000005</v>
      </c>
      <c r="AA32" s="91">
        <f t="shared" si="5"/>
        <v>20.470000000000002</v>
      </c>
      <c r="AB32" s="92">
        <f t="shared" si="2"/>
        <v>11.645</v>
      </c>
      <c r="AC32" s="93">
        <v>5.2750000000000004</v>
      </c>
      <c r="AD32" s="94"/>
      <c r="AE32" s="94">
        <v>3.75</v>
      </c>
      <c r="AF32" s="94">
        <v>2.62</v>
      </c>
      <c r="AG32" s="94"/>
      <c r="AH32" s="91">
        <f t="shared" si="3"/>
        <v>33.015000000000001</v>
      </c>
      <c r="AI32" s="91">
        <f t="shared" si="4"/>
        <v>38.055</v>
      </c>
      <c r="AJ32" s="95">
        <v>1.0421617958492162</v>
      </c>
      <c r="AK32" s="95">
        <v>0.33933728081321474</v>
      </c>
      <c r="AL32" s="95">
        <v>0</v>
      </c>
      <c r="AM32" s="95">
        <v>0.32710505717916138</v>
      </c>
    </row>
    <row r="33" spans="1:39" ht="14.25">
      <c r="D33" s="96"/>
      <c r="E33" s="97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</row>
    <row r="34" spans="1:39" ht="18.75">
      <c r="A34" s="61">
        <v>26</v>
      </c>
      <c r="B34" s="60" t="s">
        <v>32</v>
      </c>
      <c r="C34" s="66" t="s">
        <v>3</v>
      </c>
      <c r="D34" s="90">
        <v>5.04</v>
      </c>
      <c r="E34" s="90">
        <v>5.17</v>
      </c>
      <c r="F34" s="90">
        <v>1.43</v>
      </c>
      <c r="G34" s="90">
        <v>2.61</v>
      </c>
      <c r="H34" s="90">
        <v>3.61</v>
      </c>
      <c r="I34" s="90">
        <v>2.82</v>
      </c>
      <c r="J34" s="90"/>
      <c r="K34" s="90"/>
      <c r="L34" s="90"/>
      <c r="M34" s="90"/>
      <c r="N34" s="90">
        <v>0.11</v>
      </c>
      <c r="O34" s="90">
        <v>5.39</v>
      </c>
      <c r="P34" s="90">
        <v>0.37</v>
      </c>
      <c r="Q34" s="90">
        <v>0.94</v>
      </c>
      <c r="R34" s="90">
        <v>0.43</v>
      </c>
      <c r="S34" s="90">
        <v>0.26</v>
      </c>
      <c r="T34" s="90">
        <v>0.37</v>
      </c>
      <c r="U34" s="90">
        <v>0.35</v>
      </c>
      <c r="V34" s="90">
        <v>0.26</v>
      </c>
      <c r="W34" s="90">
        <v>0.15</v>
      </c>
      <c r="X34" s="90">
        <v>0.19</v>
      </c>
      <c r="Y34" s="90"/>
      <c r="Z34" s="91">
        <f t="shared" ref="Z34:Z40" si="6">SUM(E34:Y34)</f>
        <v>24.460000000000004</v>
      </c>
      <c r="AA34" s="91">
        <f>E34+G34+H34+I34+J34+L34+N34+O34+P34+Q34+R34+S34+T34+U34+V34+W34+X34</f>
        <v>23.030000000000005</v>
      </c>
      <c r="AB34" s="92">
        <f t="shared" ref="AB34:AB40" si="7">AC34+AD34+AG34+AE34+AF34</f>
        <v>9.8000000000000007</v>
      </c>
      <c r="AC34" s="94">
        <v>3.48</v>
      </c>
      <c r="AD34" s="94">
        <v>0.7</v>
      </c>
      <c r="AE34" s="94">
        <v>4.2300000000000004</v>
      </c>
      <c r="AF34" s="94">
        <v>2.02</v>
      </c>
      <c r="AG34" s="94">
        <v>-0.63</v>
      </c>
      <c r="AH34" s="91">
        <f t="shared" si="3"/>
        <v>34.260000000000005</v>
      </c>
      <c r="AI34" s="91">
        <f t="shared" ref="AI34:AI40" si="8">AH34+D34</f>
        <v>39.300000000000004</v>
      </c>
      <c r="AJ34" s="95">
        <v>0.9646039797578706</v>
      </c>
      <c r="AK34" s="95">
        <v>0.12522144710325578</v>
      </c>
      <c r="AL34" s="95">
        <v>0.43235648121333348</v>
      </c>
      <c r="AM34" s="95">
        <v>0.24141508128200154</v>
      </c>
    </row>
    <row r="35" spans="1:39" ht="18.75">
      <c r="A35" s="61">
        <f t="shared" ref="A35:A40" si="9">A34+1</f>
        <v>27</v>
      </c>
      <c r="B35" s="60" t="s">
        <v>33</v>
      </c>
      <c r="C35" s="66" t="s">
        <v>3</v>
      </c>
      <c r="D35" s="90">
        <v>5.04</v>
      </c>
      <c r="E35" s="90">
        <v>6.85</v>
      </c>
      <c r="F35" s="90">
        <v>1.69</v>
      </c>
      <c r="G35" s="90">
        <v>2.3199999999999998</v>
      </c>
      <c r="H35" s="90">
        <v>2.5</v>
      </c>
      <c r="I35" s="90">
        <v>1.4</v>
      </c>
      <c r="J35" s="90"/>
      <c r="K35" s="90"/>
      <c r="L35" s="90"/>
      <c r="M35" s="90"/>
      <c r="N35" s="90">
        <v>0.12</v>
      </c>
      <c r="O35" s="90">
        <v>5.69</v>
      </c>
      <c r="P35" s="90">
        <v>0.37</v>
      </c>
      <c r="Q35" s="90">
        <v>1.53</v>
      </c>
      <c r="R35" s="90">
        <v>0.27</v>
      </c>
      <c r="S35" s="90">
        <v>0.17</v>
      </c>
      <c r="T35" s="90">
        <v>0.23</v>
      </c>
      <c r="U35" s="90">
        <v>0.22</v>
      </c>
      <c r="V35" s="90">
        <v>0.16</v>
      </c>
      <c r="W35" s="90">
        <v>0.09</v>
      </c>
      <c r="X35" s="90">
        <v>0.24</v>
      </c>
      <c r="Y35" s="90">
        <v>1.65</v>
      </c>
      <c r="Z35" s="91">
        <f t="shared" si="6"/>
        <v>25.5</v>
      </c>
      <c r="AA35" s="91">
        <f t="shared" ref="AA35:AA40" si="10">E35+G35+H35+I35+J35+L35+N35+O35+P35+Q35+R35+S35+T35+U35+V35+W35+X35</f>
        <v>22.16</v>
      </c>
      <c r="AB35" s="92">
        <f t="shared" si="7"/>
        <v>8.7449999999999992</v>
      </c>
      <c r="AC35" s="93">
        <v>4.7850000000000001</v>
      </c>
      <c r="AD35" s="94">
        <v>1.55</v>
      </c>
      <c r="AE35" s="94">
        <v>2.09</v>
      </c>
      <c r="AF35" s="94">
        <v>2.2599999999999998</v>
      </c>
      <c r="AG35" s="94">
        <v>-1.94</v>
      </c>
      <c r="AH35" s="91">
        <f t="shared" si="3"/>
        <v>34.244999999999997</v>
      </c>
      <c r="AI35" s="91">
        <f t="shared" si="8"/>
        <v>39.284999999999997</v>
      </c>
      <c r="AJ35" s="95">
        <v>1.2927593897828522</v>
      </c>
      <c r="AK35" s="95">
        <v>0.22756684157531779</v>
      </c>
      <c r="AL35" s="95">
        <v>0.78572801337462261</v>
      </c>
      <c r="AM35" s="95">
        <v>0.43872730132796334</v>
      </c>
    </row>
    <row r="36" spans="1:39" ht="18.75">
      <c r="A36" s="61">
        <f t="shared" si="9"/>
        <v>28</v>
      </c>
      <c r="B36" s="60" t="s">
        <v>34</v>
      </c>
      <c r="C36" s="66" t="s">
        <v>3</v>
      </c>
      <c r="D36" s="90">
        <v>5.04</v>
      </c>
      <c r="E36" s="90">
        <v>5.89</v>
      </c>
      <c r="F36" s="90">
        <v>1.1200000000000001</v>
      </c>
      <c r="G36" s="90">
        <v>3.3</v>
      </c>
      <c r="H36" s="90">
        <v>3.56</v>
      </c>
      <c r="I36" s="90">
        <v>3</v>
      </c>
      <c r="J36" s="90"/>
      <c r="K36" s="90"/>
      <c r="L36" s="90"/>
      <c r="M36" s="90"/>
      <c r="N36" s="90">
        <v>0.11</v>
      </c>
      <c r="O36" s="90">
        <v>3.98</v>
      </c>
      <c r="P36" s="90">
        <v>0.37</v>
      </c>
      <c r="Q36" s="90">
        <v>0.67</v>
      </c>
      <c r="R36" s="90">
        <v>0.5</v>
      </c>
      <c r="S36" s="90"/>
      <c r="T36" s="90">
        <v>0.36</v>
      </c>
      <c r="U36" s="90">
        <v>0.35</v>
      </c>
      <c r="V36" s="90"/>
      <c r="W36" s="90">
        <v>0.14000000000000001</v>
      </c>
      <c r="X36" s="90">
        <v>0.37</v>
      </c>
      <c r="Y36" s="90"/>
      <c r="Z36" s="91">
        <f t="shared" si="6"/>
        <v>23.720000000000002</v>
      </c>
      <c r="AA36" s="91">
        <f t="shared" si="10"/>
        <v>22.600000000000005</v>
      </c>
      <c r="AB36" s="92">
        <f t="shared" si="7"/>
        <v>10.175000000000001</v>
      </c>
      <c r="AC36" s="93">
        <v>3.7650000000000001</v>
      </c>
      <c r="AD36" s="94">
        <v>0.35</v>
      </c>
      <c r="AE36" s="94">
        <v>4.5</v>
      </c>
      <c r="AF36" s="94">
        <v>1.96</v>
      </c>
      <c r="AG36" s="94">
        <v>-0.4</v>
      </c>
      <c r="AH36" s="91">
        <f t="shared" si="3"/>
        <v>33.895000000000003</v>
      </c>
      <c r="AI36" s="91">
        <f t="shared" si="8"/>
        <v>38.935000000000002</v>
      </c>
      <c r="AJ36" s="95">
        <v>1.0434331374853114</v>
      </c>
      <c r="AK36" s="95">
        <v>0.31885170387779083</v>
      </c>
      <c r="AL36" s="95">
        <v>0</v>
      </c>
      <c r="AM36" s="95">
        <v>0.30735793184488835</v>
      </c>
    </row>
    <row r="37" spans="1:39" ht="18.75">
      <c r="A37" s="61">
        <f t="shared" si="9"/>
        <v>29</v>
      </c>
      <c r="B37" s="60" t="s">
        <v>35</v>
      </c>
      <c r="C37" s="66" t="s">
        <v>3</v>
      </c>
      <c r="D37" s="90">
        <v>5.04</v>
      </c>
      <c r="E37" s="90">
        <v>4.9800000000000004</v>
      </c>
      <c r="F37" s="90">
        <v>1.27</v>
      </c>
      <c r="G37" s="90">
        <v>3.12</v>
      </c>
      <c r="H37" s="90">
        <v>3.28</v>
      </c>
      <c r="I37" s="90">
        <v>2.5099999999999998</v>
      </c>
      <c r="J37" s="90"/>
      <c r="K37" s="90"/>
      <c r="L37" s="90"/>
      <c r="M37" s="90"/>
      <c r="N37" s="90">
        <v>0.11</v>
      </c>
      <c r="O37" s="90">
        <v>7.22</v>
      </c>
      <c r="P37" s="90">
        <v>0.37</v>
      </c>
      <c r="Q37" s="90">
        <v>1.1200000000000001</v>
      </c>
      <c r="R37" s="90">
        <v>0.51</v>
      </c>
      <c r="S37" s="90"/>
      <c r="T37" s="90"/>
      <c r="U37" s="90">
        <v>0.35</v>
      </c>
      <c r="V37" s="90"/>
      <c r="W37" s="90"/>
      <c r="X37" s="90">
        <v>0.19</v>
      </c>
      <c r="Y37" s="90"/>
      <c r="Z37" s="91">
        <f t="shared" si="6"/>
        <v>25.030000000000005</v>
      </c>
      <c r="AA37" s="91">
        <f t="shared" si="10"/>
        <v>23.760000000000005</v>
      </c>
      <c r="AB37" s="92">
        <f t="shared" si="7"/>
        <v>8.5149999999999988</v>
      </c>
      <c r="AC37" s="93">
        <v>2.5249999999999999</v>
      </c>
      <c r="AD37" s="94">
        <v>0.34</v>
      </c>
      <c r="AE37" s="94">
        <v>3.77</v>
      </c>
      <c r="AF37" s="94">
        <v>2.1</v>
      </c>
      <c r="AG37" s="94">
        <v>-0.22</v>
      </c>
      <c r="AH37" s="91">
        <f t="shared" si="3"/>
        <v>33.545000000000002</v>
      </c>
      <c r="AI37" s="91">
        <f t="shared" si="8"/>
        <v>38.585000000000001</v>
      </c>
      <c r="AJ37" s="95">
        <v>1.0119884304350393</v>
      </c>
      <c r="AK37" s="95">
        <v>0.3006967735080574</v>
      </c>
      <c r="AL37" s="95">
        <v>0</v>
      </c>
      <c r="AM37" s="95">
        <v>0.28985743934832653</v>
      </c>
    </row>
    <row r="38" spans="1:39" ht="18.75">
      <c r="A38" s="61">
        <f t="shared" si="9"/>
        <v>30</v>
      </c>
      <c r="B38" s="60" t="s">
        <v>36</v>
      </c>
      <c r="C38" s="66" t="s">
        <v>3</v>
      </c>
      <c r="D38" s="90">
        <v>5.04</v>
      </c>
      <c r="E38" s="90">
        <v>5.87</v>
      </c>
      <c r="F38" s="90">
        <v>1.06</v>
      </c>
      <c r="G38" s="90">
        <v>3.11</v>
      </c>
      <c r="H38" s="90">
        <v>3.36</v>
      </c>
      <c r="I38" s="90">
        <v>3.11</v>
      </c>
      <c r="J38" s="90"/>
      <c r="K38" s="90"/>
      <c r="L38" s="90"/>
      <c r="M38" s="90"/>
      <c r="N38" s="90">
        <v>0.11</v>
      </c>
      <c r="O38" s="90">
        <v>2.99</v>
      </c>
      <c r="P38" s="90">
        <v>0.37</v>
      </c>
      <c r="Q38" s="90">
        <v>0.56000000000000005</v>
      </c>
      <c r="R38" s="90">
        <v>0.5</v>
      </c>
      <c r="S38" s="90"/>
      <c r="T38" s="90">
        <v>0.35</v>
      </c>
      <c r="U38" s="90">
        <v>0.34</v>
      </c>
      <c r="V38" s="90"/>
      <c r="W38" s="90">
        <v>0.14000000000000001</v>
      </c>
      <c r="X38" s="90">
        <v>0.37</v>
      </c>
      <c r="Y38" s="90"/>
      <c r="Z38" s="91">
        <f t="shared" si="6"/>
        <v>22.240000000000002</v>
      </c>
      <c r="AA38" s="91">
        <f t="shared" si="10"/>
        <v>21.18</v>
      </c>
      <c r="AB38" s="92">
        <f t="shared" si="7"/>
        <v>11.664999999999999</v>
      </c>
      <c r="AC38" s="93">
        <v>4.3849999999999998</v>
      </c>
      <c r="AD38" s="94">
        <v>0.8</v>
      </c>
      <c r="AE38" s="94">
        <v>4.66</v>
      </c>
      <c r="AF38" s="94">
        <v>2.12</v>
      </c>
      <c r="AG38" s="94">
        <v>-0.3</v>
      </c>
      <c r="AH38" s="91">
        <f t="shared" si="3"/>
        <v>33.905000000000001</v>
      </c>
      <c r="AI38" s="91">
        <f t="shared" si="8"/>
        <v>38.945</v>
      </c>
      <c r="AJ38" s="95">
        <v>0.99116279878313773</v>
      </c>
      <c r="AK38" s="95">
        <v>0.30345739765319424</v>
      </c>
      <c r="AL38" s="95">
        <v>0</v>
      </c>
      <c r="AM38" s="95">
        <v>0.29251855019556711</v>
      </c>
    </row>
    <row r="39" spans="1:39" ht="18.75">
      <c r="A39" s="61">
        <f t="shared" si="9"/>
        <v>31</v>
      </c>
      <c r="B39" s="60" t="s">
        <v>37</v>
      </c>
      <c r="C39" s="66" t="s">
        <v>3</v>
      </c>
      <c r="D39" s="90">
        <v>5.04</v>
      </c>
      <c r="E39" s="90">
        <v>5.03</v>
      </c>
      <c r="F39" s="90">
        <v>1.21</v>
      </c>
      <c r="G39" s="90">
        <v>3.06</v>
      </c>
      <c r="H39" s="90">
        <v>3.22</v>
      </c>
      <c r="I39" s="90">
        <v>2.4500000000000002</v>
      </c>
      <c r="J39" s="90"/>
      <c r="K39" s="90"/>
      <c r="L39" s="90"/>
      <c r="M39" s="90"/>
      <c r="N39" s="90">
        <v>0.11</v>
      </c>
      <c r="O39" s="90">
        <v>7.78</v>
      </c>
      <c r="P39" s="90">
        <v>0.37</v>
      </c>
      <c r="Q39" s="90">
        <v>0.7</v>
      </c>
      <c r="R39" s="90">
        <v>0.5</v>
      </c>
      <c r="S39" s="90"/>
      <c r="T39" s="90">
        <v>0.36</v>
      </c>
      <c r="U39" s="90">
        <v>0.34</v>
      </c>
      <c r="V39" s="90"/>
      <c r="W39" s="90">
        <v>0.14000000000000001</v>
      </c>
      <c r="X39" s="90">
        <v>0.37</v>
      </c>
      <c r="Y39" s="90"/>
      <c r="Z39" s="91">
        <f t="shared" si="6"/>
        <v>25.640000000000004</v>
      </c>
      <c r="AA39" s="91">
        <f t="shared" si="10"/>
        <v>24.430000000000003</v>
      </c>
      <c r="AB39" s="92">
        <f t="shared" si="7"/>
        <v>8.2749999999999986</v>
      </c>
      <c r="AC39" s="94">
        <v>2.5950000000000002</v>
      </c>
      <c r="AD39" s="94">
        <v>0.42</v>
      </c>
      <c r="AE39" s="94">
        <v>3.67</v>
      </c>
      <c r="AF39" s="94">
        <v>2.0499999999999998</v>
      </c>
      <c r="AG39" s="94">
        <v>-0.46</v>
      </c>
      <c r="AH39" s="91">
        <f t="shared" si="3"/>
        <v>33.915000000000006</v>
      </c>
      <c r="AI39" s="91">
        <f t="shared" si="8"/>
        <v>38.955000000000005</v>
      </c>
      <c r="AJ39" s="95">
        <v>0.99008550205427015</v>
      </c>
      <c r="AK39" s="95">
        <v>0.31198680124132855</v>
      </c>
      <c r="AL39" s="95">
        <v>0</v>
      </c>
      <c r="AM39" s="95">
        <v>0.30074049103777167</v>
      </c>
    </row>
    <row r="40" spans="1:39" ht="18.75">
      <c r="A40" s="61">
        <f t="shared" si="9"/>
        <v>32</v>
      </c>
      <c r="B40" s="60" t="s">
        <v>38</v>
      </c>
      <c r="C40" s="66" t="s">
        <v>3</v>
      </c>
      <c r="D40" s="90">
        <v>5.04</v>
      </c>
      <c r="E40" s="90">
        <v>5.29</v>
      </c>
      <c r="F40" s="90">
        <v>0.76</v>
      </c>
      <c r="G40" s="90">
        <v>3.04</v>
      </c>
      <c r="H40" s="90">
        <v>3.31</v>
      </c>
      <c r="I40" s="90">
        <v>3</v>
      </c>
      <c r="J40" s="90"/>
      <c r="K40" s="90"/>
      <c r="L40" s="90"/>
      <c r="M40" s="90"/>
      <c r="N40" s="90">
        <v>0.11</v>
      </c>
      <c r="O40" s="90">
        <v>2.38</v>
      </c>
      <c r="P40" s="90">
        <v>0.37</v>
      </c>
      <c r="Q40" s="90">
        <v>0.48</v>
      </c>
      <c r="R40" s="90"/>
      <c r="S40" s="90"/>
      <c r="T40" s="90"/>
      <c r="U40" s="90"/>
      <c r="V40" s="90"/>
      <c r="W40" s="90"/>
      <c r="X40" s="90">
        <v>0.68</v>
      </c>
      <c r="Y40" s="90"/>
      <c r="Z40" s="91">
        <f t="shared" si="6"/>
        <v>19.420000000000002</v>
      </c>
      <c r="AA40" s="91">
        <f t="shared" si="10"/>
        <v>18.66</v>
      </c>
      <c r="AB40" s="92">
        <f t="shared" si="7"/>
        <v>13.459999999999999</v>
      </c>
      <c r="AC40" s="94">
        <v>6.61</v>
      </c>
      <c r="AD40" s="94"/>
      <c r="AE40" s="94">
        <v>4.5</v>
      </c>
      <c r="AF40" s="94">
        <v>2.35</v>
      </c>
      <c r="AG40" s="94"/>
      <c r="AH40" s="91">
        <f t="shared" si="3"/>
        <v>32.880000000000003</v>
      </c>
      <c r="AI40" s="91">
        <f t="shared" si="8"/>
        <v>37.92</v>
      </c>
      <c r="AJ40" s="95">
        <v>1.032005144694534</v>
      </c>
      <c r="AK40" s="95">
        <v>0.32970744694533766</v>
      </c>
      <c r="AL40" s="95">
        <v>0</v>
      </c>
      <c r="AM40" s="95">
        <v>0.31782235369774919</v>
      </c>
    </row>
    <row r="41" spans="1:39" ht="15">
      <c r="A41" s="39"/>
      <c r="B41" s="46"/>
      <c r="C41" s="47"/>
      <c r="D41" s="48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50"/>
      <c r="Z41" s="52"/>
      <c r="AA41" s="53"/>
      <c r="AB41" s="49"/>
      <c r="AC41" s="54"/>
      <c r="AD41" s="6"/>
      <c r="AE41" s="6"/>
      <c r="AF41" s="6"/>
      <c r="AG41" s="6"/>
      <c r="AH41" s="6"/>
      <c r="AI41" s="6"/>
    </row>
    <row r="42" spans="1:39">
      <c r="B42" s="25"/>
      <c r="C42" s="25"/>
      <c r="D42" s="25"/>
      <c r="E42" s="2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"/>
      <c r="AA42" s="2"/>
      <c r="AB42" s="2"/>
      <c r="AC42" s="1"/>
    </row>
    <row r="43" spans="1:39">
      <c r="B43" s="25"/>
      <c r="C43" s="25"/>
      <c r="D43" s="25"/>
      <c r="E43" s="2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"/>
      <c r="AA43" s="2"/>
      <c r="AB43" s="2"/>
      <c r="AC43" s="1"/>
    </row>
    <row r="44" spans="1:39">
      <c r="B44" s="25"/>
      <c r="C44" s="25"/>
      <c r="D44" s="25"/>
      <c r="E44" s="2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"/>
      <c r="AA44" s="2"/>
      <c r="AB44" s="2"/>
      <c r="AC44" s="1"/>
    </row>
    <row r="45" spans="1:39">
      <c r="B45" s="25"/>
      <c r="C45" s="25"/>
      <c r="D45" s="25"/>
      <c r="E45" s="2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"/>
      <c r="AA45" s="2"/>
      <c r="AB45" s="2"/>
      <c r="AC45" s="1"/>
    </row>
    <row r="46" spans="1:39">
      <c r="B46" s="25"/>
      <c r="C46" s="25"/>
      <c r="D46" s="25"/>
      <c r="E46" s="2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"/>
      <c r="AA46" s="2"/>
      <c r="AB46" s="2"/>
      <c r="AC46" s="1"/>
    </row>
    <row r="47" spans="1:39">
      <c r="AC47" s="1"/>
    </row>
    <row r="48" spans="1:39">
      <c r="AC48" s="1"/>
    </row>
    <row r="49" spans="29:29">
      <c r="AC49" s="1"/>
    </row>
    <row r="50" spans="29:29">
      <c r="AC50" s="1"/>
    </row>
    <row r="51" spans="29:29">
      <c r="AC51" s="1"/>
    </row>
    <row r="52" spans="29:29">
      <c r="AC52" s="1"/>
    </row>
    <row r="53" spans="29:29">
      <c r="AC53" s="1"/>
    </row>
    <row r="54" spans="29:29">
      <c r="AC54" s="1"/>
    </row>
    <row r="55" spans="29:29">
      <c r="AC55" s="1"/>
    </row>
    <row r="56" spans="29:29">
      <c r="AC56" s="1"/>
    </row>
    <row r="57" spans="29:29">
      <c r="AC57" s="1"/>
    </row>
  </sheetData>
  <mergeCells count="38">
    <mergeCell ref="B1:AB1"/>
    <mergeCell ref="A2:A4"/>
    <mergeCell ref="B2:B4"/>
    <mergeCell ref="C2:C4"/>
    <mergeCell ref="D2:D4"/>
    <mergeCell ref="Z2:Z4"/>
    <mergeCell ref="AA2:AA4"/>
    <mergeCell ref="AB2:AB4"/>
    <mergeCell ref="K3:K4"/>
    <mergeCell ref="O3:O4"/>
    <mergeCell ref="P3:P4"/>
    <mergeCell ref="Q3:Q4"/>
    <mergeCell ref="AC2:AG2"/>
    <mergeCell ref="AJ2:AM2"/>
    <mergeCell ref="E3:E4"/>
    <mergeCell ref="F3:F4"/>
    <mergeCell ref="G3:G4"/>
    <mergeCell ref="H3:H4"/>
    <mergeCell ref="I3:I4"/>
    <mergeCell ref="J3:J4"/>
    <mergeCell ref="AJ3:AJ4"/>
    <mergeCell ref="AK3:AK4"/>
    <mergeCell ref="AL3:AL4"/>
    <mergeCell ref="AM3:AM4"/>
    <mergeCell ref="AH2:AH4"/>
    <mergeCell ref="AI2:AI4"/>
    <mergeCell ref="M3:M4"/>
    <mergeCell ref="N3:N4"/>
    <mergeCell ref="A6:AI6"/>
    <mergeCell ref="V3:V4"/>
    <mergeCell ref="W3:W4"/>
    <mergeCell ref="X3:X4"/>
    <mergeCell ref="Y3:Y4"/>
    <mergeCell ref="R3:R4"/>
    <mergeCell ref="S3:S4"/>
    <mergeCell ref="T3:T4"/>
    <mergeCell ref="U3:U4"/>
    <mergeCell ref="L3:L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N75"/>
  <sheetViews>
    <sheetView tabSelected="1" view="pageBreakPreview" zoomScale="90" zoomScaleSheetLayoutView="90" workbookViewId="0">
      <pane xSplit="3" ySplit="6" topLeftCell="Q46" activePane="bottomRight" state="frozen"/>
      <selection pane="topRight" activeCell="D1" sqref="D1"/>
      <selection pane="bottomLeft" activeCell="A8" sqref="A8"/>
      <selection pane="bottomRight" activeCell="A57" sqref="A57:XFD57"/>
    </sheetView>
  </sheetViews>
  <sheetFormatPr defaultRowHeight="12.75" outlineLevelCol="1"/>
  <cols>
    <col min="1" max="1" width="4.42578125" style="98" customWidth="1"/>
    <col min="2" max="2" width="19.42578125" style="98" customWidth="1"/>
    <col min="3" max="3" width="7.42578125" style="98" customWidth="1"/>
    <col min="4" max="4" width="7.5703125" style="98" customWidth="1"/>
    <col min="5" max="5" width="7.85546875" style="99" customWidth="1"/>
    <col min="6" max="6" width="7.7109375" style="98" customWidth="1"/>
    <col min="7" max="7" width="7.85546875" style="98" customWidth="1"/>
    <col min="8" max="8" width="8" style="98" customWidth="1"/>
    <col min="9" max="9" width="7.85546875" style="98" customWidth="1"/>
    <col min="10" max="11" width="6.140625" style="98" hidden="1" customWidth="1"/>
    <col min="12" max="12" width="5.7109375" style="98" hidden="1" customWidth="1"/>
    <col min="13" max="13" width="6.140625" style="98" hidden="1" customWidth="1"/>
    <col min="14" max="14" width="7.28515625" style="98" customWidth="1"/>
    <col min="15" max="15" width="8.28515625" style="98" customWidth="1"/>
    <col min="16" max="16" width="7.140625" style="98" customWidth="1"/>
    <col min="17" max="17" width="7.5703125" style="98" customWidth="1"/>
    <col min="18" max="18" width="7" style="98" customWidth="1"/>
    <col min="19" max="19" width="6.140625" style="98" customWidth="1"/>
    <col min="20" max="20" width="7.7109375" style="98" customWidth="1"/>
    <col min="21" max="21" width="7" style="98" customWidth="1"/>
    <col min="22" max="22" width="6.5703125" style="98" customWidth="1"/>
    <col min="23" max="23" width="6.85546875" style="98" customWidth="1"/>
    <col min="24" max="24" width="8.140625" style="98" bestFit="1" customWidth="1"/>
    <col min="25" max="25" width="7.85546875" style="98" customWidth="1"/>
    <col min="26" max="26" width="8.85546875" style="99" customWidth="1"/>
    <col min="27" max="27" width="8.7109375" style="99" customWidth="1"/>
    <col min="28" max="28" width="9.5703125" style="99" hidden="1" customWidth="1" outlineLevel="1"/>
    <col min="29" max="30" width="9.140625" style="99" hidden="1" customWidth="1" outlineLevel="1"/>
    <col min="31" max="31" width="12.140625" style="99" hidden="1" customWidth="1" outlineLevel="1"/>
    <col min="32" max="32" width="9.140625" style="99" hidden="1" customWidth="1" outlineLevel="1"/>
    <col min="33" max="33" width="9.140625" style="230" customWidth="1" collapsed="1"/>
    <col min="34" max="16384" width="9.140625" style="99"/>
  </cols>
  <sheetData>
    <row r="1" spans="1:40">
      <c r="B1" s="267" t="s">
        <v>96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</row>
    <row r="2" spans="1:40" ht="12.75" customHeight="1">
      <c r="A2" s="249" t="s">
        <v>87</v>
      </c>
      <c r="B2" s="268" t="s">
        <v>0</v>
      </c>
      <c r="C2" s="260" t="s">
        <v>97</v>
      </c>
      <c r="D2" s="269" t="s">
        <v>62</v>
      </c>
      <c r="E2" s="268" t="s">
        <v>1</v>
      </c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9" t="s">
        <v>4</v>
      </c>
      <c r="AA2" s="269" t="s">
        <v>82</v>
      </c>
      <c r="AB2" s="270" t="s">
        <v>49</v>
      </c>
      <c r="AC2" s="270"/>
      <c r="AD2" s="270"/>
      <c r="AE2" s="270"/>
      <c r="AF2" s="270"/>
      <c r="AG2" s="271" t="s">
        <v>61</v>
      </c>
      <c r="AH2" s="249" t="s">
        <v>150</v>
      </c>
      <c r="AI2" s="249"/>
      <c r="AJ2" s="249"/>
      <c r="AK2" s="249"/>
      <c r="AL2" s="273" t="s">
        <v>146</v>
      </c>
      <c r="AM2" s="273"/>
      <c r="AN2" s="273"/>
    </row>
    <row r="3" spans="1:40" ht="178.5">
      <c r="A3" s="249"/>
      <c r="B3" s="268" t="s">
        <v>0</v>
      </c>
      <c r="C3" s="260"/>
      <c r="D3" s="269"/>
      <c r="E3" s="260" t="s">
        <v>63</v>
      </c>
      <c r="F3" s="251" t="s">
        <v>64</v>
      </c>
      <c r="G3" s="251" t="s">
        <v>65</v>
      </c>
      <c r="H3" s="251" t="s">
        <v>67</v>
      </c>
      <c r="I3" s="251" t="s">
        <v>66</v>
      </c>
      <c r="J3" s="251" t="s">
        <v>68</v>
      </c>
      <c r="K3" s="251" t="s">
        <v>69</v>
      </c>
      <c r="L3" s="251" t="s">
        <v>70</v>
      </c>
      <c r="M3" s="251" t="s">
        <v>71</v>
      </c>
      <c r="N3" s="251" t="s">
        <v>72</v>
      </c>
      <c r="O3" s="251" t="s">
        <v>73</v>
      </c>
      <c r="P3" s="251" t="s">
        <v>74</v>
      </c>
      <c r="Q3" s="251" t="s">
        <v>54</v>
      </c>
      <c r="R3" s="251" t="s">
        <v>75</v>
      </c>
      <c r="S3" s="251" t="s">
        <v>76</v>
      </c>
      <c r="T3" s="251" t="s">
        <v>77</v>
      </c>
      <c r="U3" s="251" t="s">
        <v>78</v>
      </c>
      <c r="V3" s="251" t="s">
        <v>55</v>
      </c>
      <c r="W3" s="251" t="s">
        <v>56</v>
      </c>
      <c r="X3" s="251" t="s">
        <v>79</v>
      </c>
      <c r="Y3" s="251" t="s">
        <v>80</v>
      </c>
      <c r="Z3" s="269"/>
      <c r="AA3" s="269"/>
      <c r="AB3" s="81" t="s">
        <v>50</v>
      </c>
      <c r="AC3" s="81" t="s">
        <v>51</v>
      </c>
      <c r="AD3" s="81" t="s">
        <v>52</v>
      </c>
      <c r="AE3" s="81" t="s">
        <v>53</v>
      </c>
      <c r="AF3" s="81" t="s">
        <v>58</v>
      </c>
      <c r="AG3" s="271"/>
      <c r="AH3" s="251" t="s">
        <v>89</v>
      </c>
      <c r="AI3" s="251" t="s">
        <v>90</v>
      </c>
      <c r="AJ3" s="251" t="s">
        <v>91</v>
      </c>
      <c r="AK3" s="251" t="s">
        <v>92</v>
      </c>
      <c r="AL3" s="275" t="s">
        <v>147</v>
      </c>
      <c r="AM3" s="275" t="s">
        <v>148</v>
      </c>
      <c r="AN3" s="275" t="s">
        <v>149</v>
      </c>
    </row>
    <row r="4" spans="1:40">
      <c r="A4" s="249"/>
      <c r="B4" s="268"/>
      <c r="C4" s="260"/>
      <c r="D4" s="269"/>
      <c r="E4" s="260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69"/>
      <c r="AA4" s="269"/>
      <c r="AB4" s="81"/>
      <c r="AC4" s="81"/>
      <c r="AD4" s="81"/>
      <c r="AE4" s="81"/>
      <c r="AF4" s="81"/>
      <c r="AG4" s="271"/>
      <c r="AH4" s="251"/>
      <c r="AI4" s="251"/>
      <c r="AJ4" s="251"/>
      <c r="AK4" s="251"/>
      <c r="AL4" s="276"/>
      <c r="AM4" s="276"/>
      <c r="AN4" s="276"/>
    </row>
    <row r="5" spans="1:40" ht="13.5">
      <c r="A5" s="277" t="s">
        <v>85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100"/>
      <c r="AI5" s="100"/>
      <c r="AJ5" s="100"/>
      <c r="AK5" s="100"/>
      <c r="AL5" s="100"/>
      <c r="AM5" s="100"/>
      <c r="AN5" s="100"/>
    </row>
    <row r="6" spans="1:40">
      <c r="A6" s="101"/>
      <c r="B6" s="102" t="s">
        <v>2</v>
      </c>
      <c r="C6" s="102"/>
      <c r="D6" s="86"/>
      <c r="E6" s="103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103"/>
      <c r="AA6" s="103"/>
      <c r="AB6" s="100"/>
      <c r="AC6" s="100"/>
      <c r="AD6" s="100"/>
      <c r="AE6" s="100"/>
      <c r="AF6" s="100"/>
      <c r="AG6" s="231"/>
      <c r="AH6" s="100"/>
      <c r="AI6" s="100"/>
      <c r="AJ6" s="100"/>
      <c r="AK6" s="100"/>
      <c r="AL6" s="100"/>
      <c r="AM6" s="100"/>
      <c r="AN6" s="100"/>
    </row>
    <row r="7" spans="1:40">
      <c r="A7" s="101">
        <f t="shared" ref="A7" si="0">A6+1</f>
        <v>1</v>
      </c>
      <c r="B7" s="104" t="s">
        <v>6</v>
      </c>
      <c r="C7" s="66">
        <f>'[1]жэу-3'!$P$10</f>
        <v>5584.4000000000005</v>
      </c>
      <c r="D7" s="84">
        <v>5.04</v>
      </c>
      <c r="E7" s="84">
        <v>5.17</v>
      </c>
      <c r="F7" s="84">
        <v>1.32</v>
      </c>
      <c r="G7" s="84">
        <v>2.12</v>
      </c>
      <c r="H7" s="84">
        <v>2.9</v>
      </c>
      <c r="I7" s="84">
        <v>2.63</v>
      </c>
      <c r="J7" s="84"/>
      <c r="K7" s="84"/>
      <c r="L7" s="84"/>
      <c r="M7" s="84"/>
      <c r="N7" s="84">
        <v>0.11</v>
      </c>
      <c r="O7" s="84">
        <v>8.16</v>
      </c>
      <c r="P7" s="84">
        <v>0.37</v>
      </c>
      <c r="Q7" s="84">
        <v>0.85</v>
      </c>
      <c r="R7" s="84">
        <v>0.31</v>
      </c>
      <c r="S7" s="84"/>
      <c r="T7" s="84">
        <v>0.12</v>
      </c>
      <c r="U7" s="84">
        <v>0.18</v>
      </c>
      <c r="V7" s="84">
        <v>0.15</v>
      </c>
      <c r="W7" s="84">
        <v>0.09</v>
      </c>
      <c r="X7" s="84">
        <v>0.14000000000000001</v>
      </c>
      <c r="Y7" s="84"/>
      <c r="Z7" s="85">
        <f>SUM(D7:Y7)</f>
        <v>29.66</v>
      </c>
      <c r="AA7" s="86">
        <f t="shared" ref="AA7:AA55" si="1">AB7+AC7+AF7+AD7+AE7</f>
        <v>9.1440000000000001</v>
      </c>
      <c r="AB7" s="87">
        <v>2.7440000000000002</v>
      </c>
      <c r="AC7" s="88">
        <v>0.32</v>
      </c>
      <c r="AD7" s="88">
        <v>3.95</v>
      </c>
      <c r="AE7" s="88">
        <v>2.13</v>
      </c>
      <c r="AF7" s="88"/>
      <c r="AG7" s="232">
        <f>Z7+AA7</f>
        <v>38.804000000000002</v>
      </c>
      <c r="AH7" s="89">
        <v>0.98757048229438937</v>
      </c>
      <c r="AI7" s="89">
        <v>0.30598553761323355</v>
      </c>
      <c r="AJ7" s="89">
        <v>0</v>
      </c>
      <c r="AK7" s="89">
        <v>0.29495555730602596</v>
      </c>
      <c r="AL7" s="100"/>
      <c r="AM7" s="100"/>
      <c r="AN7" s="100"/>
    </row>
    <row r="8" spans="1:40" s="229" customFormat="1">
      <c r="A8" s="221"/>
      <c r="B8" s="222"/>
      <c r="C8" s="222"/>
      <c r="D8" s="223">
        <f>C7*D7</f>
        <v>28145.376000000004</v>
      </c>
      <c r="E8" s="223">
        <f>C7*E7</f>
        <v>28871.348000000002</v>
      </c>
      <c r="F8" s="223">
        <f>C7*F7</f>
        <v>7371.4080000000013</v>
      </c>
      <c r="G8" s="223">
        <f>C7*G7</f>
        <v>11838.928000000002</v>
      </c>
      <c r="H8" s="223">
        <f>C7*H7</f>
        <v>16194.76</v>
      </c>
      <c r="I8" s="223">
        <f>C7*I7</f>
        <v>14686.972000000002</v>
      </c>
      <c r="J8" s="223"/>
      <c r="K8" s="223"/>
      <c r="L8" s="223"/>
      <c r="M8" s="223"/>
      <c r="N8" s="223">
        <f>C7*N7</f>
        <v>614.28400000000011</v>
      </c>
      <c r="O8" s="223">
        <f>C7*O7</f>
        <v>45568.704000000005</v>
      </c>
      <c r="P8" s="223">
        <f>C7*P7</f>
        <v>2066.2280000000001</v>
      </c>
      <c r="Q8" s="223">
        <f>C7*Q7</f>
        <v>4746.7400000000007</v>
      </c>
      <c r="R8" s="223">
        <f>C7*R7</f>
        <v>1731.1640000000002</v>
      </c>
      <c r="S8" s="223">
        <f>C7*S7</f>
        <v>0</v>
      </c>
      <c r="T8" s="223">
        <f>C7*T7</f>
        <v>670.12800000000004</v>
      </c>
      <c r="U8" s="223">
        <f>C7*U7</f>
        <v>1005.192</v>
      </c>
      <c r="V8" s="223">
        <f>C7*V7</f>
        <v>837.66000000000008</v>
      </c>
      <c r="W8" s="223">
        <f>C7*W7</f>
        <v>502.596</v>
      </c>
      <c r="X8" s="223">
        <f>C7*X7</f>
        <v>781.81600000000014</v>
      </c>
      <c r="Y8" s="223">
        <f>C7*Y7</f>
        <v>0</v>
      </c>
      <c r="Z8" s="224">
        <f>C7*Z7</f>
        <v>165633.304</v>
      </c>
      <c r="AA8" s="225">
        <f>C7*AA7</f>
        <v>51063.753600000004</v>
      </c>
      <c r="AB8" s="226"/>
      <c r="AC8" s="227"/>
      <c r="AD8" s="227"/>
      <c r="AE8" s="227"/>
      <c r="AF8" s="227"/>
      <c r="AG8" s="233">
        <f>C7*AG7</f>
        <v>216697.05760000003</v>
      </c>
      <c r="AH8" s="228">
        <f>C7*AH7</f>
        <v>5514.9886013247888</v>
      </c>
      <c r="AI8" s="228">
        <f>C7*AI7</f>
        <v>1708.7456362473415</v>
      </c>
      <c r="AJ8" s="228">
        <f>C7*AJ7</f>
        <v>0</v>
      </c>
      <c r="AK8" s="228">
        <f>C7*AK7</f>
        <v>1647.1498142197715</v>
      </c>
      <c r="AL8" s="228">
        <f>D8+E8+G8+H8+I8+O8+P8+Q8+AA8</f>
        <v>203182.80959999998</v>
      </c>
      <c r="AM8" s="228">
        <f>F8+N8+R8+S8+T8+U8+V8+W8+X8+Y8</f>
        <v>13514.248000000003</v>
      </c>
      <c r="AN8" s="228">
        <f>AH8+AI8+AJ8+AK8</f>
        <v>8870.8840517919016</v>
      </c>
    </row>
    <row r="9" spans="1:40">
      <c r="A9" s="101">
        <f>A7+1</f>
        <v>2</v>
      </c>
      <c r="B9" s="104" t="s">
        <v>7</v>
      </c>
      <c r="C9" s="66">
        <f>'[1]жэу-3'!$P$11</f>
        <v>3362.2</v>
      </c>
      <c r="D9" s="84">
        <v>5.04</v>
      </c>
      <c r="E9" s="84">
        <v>4.4000000000000004</v>
      </c>
      <c r="F9" s="84">
        <v>1.49</v>
      </c>
      <c r="G9" s="84">
        <v>2.2599999999999998</v>
      </c>
      <c r="H9" s="84">
        <v>3.1</v>
      </c>
      <c r="I9" s="84">
        <v>2.46</v>
      </c>
      <c r="J9" s="84"/>
      <c r="K9" s="84"/>
      <c r="L9" s="84"/>
      <c r="M9" s="84"/>
      <c r="N9" s="84">
        <v>0.1</v>
      </c>
      <c r="O9" s="84">
        <v>7.68</v>
      </c>
      <c r="P9" s="84">
        <v>0.37</v>
      </c>
      <c r="Q9" s="84">
        <v>0.7</v>
      </c>
      <c r="R9" s="84">
        <v>0.51</v>
      </c>
      <c r="S9" s="84"/>
      <c r="T9" s="84">
        <v>0.36</v>
      </c>
      <c r="U9" s="84">
        <v>0.35</v>
      </c>
      <c r="V9" s="84"/>
      <c r="W9" s="84">
        <v>0.15</v>
      </c>
      <c r="X9" s="84">
        <v>0.38</v>
      </c>
      <c r="Y9" s="84"/>
      <c r="Z9" s="85">
        <f>SUM(D9:Y9)</f>
        <v>29.350000000000005</v>
      </c>
      <c r="AA9" s="86">
        <f t="shared" si="1"/>
        <v>9.59</v>
      </c>
      <c r="AB9" s="88">
        <v>3.33</v>
      </c>
      <c r="AC9" s="88">
        <v>0.95</v>
      </c>
      <c r="AD9" s="88">
        <v>3.69</v>
      </c>
      <c r="AE9" s="88">
        <v>2.39</v>
      </c>
      <c r="AF9" s="88">
        <v>-0.77</v>
      </c>
      <c r="AG9" s="232">
        <f>Z9+AA9</f>
        <v>38.940000000000005</v>
      </c>
      <c r="AH9" s="89">
        <v>0.93185721085197537</v>
      </c>
      <c r="AI9" s="89">
        <v>0.27928548548310328</v>
      </c>
      <c r="AJ9" s="89">
        <v>0</v>
      </c>
      <c r="AK9" s="89">
        <v>0.26921797239409806</v>
      </c>
      <c r="AL9" s="100"/>
      <c r="AM9" s="100"/>
      <c r="AN9" s="100"/>
    </row>
    <row r="10" spans="1:40" s="229" customFormat="1">
      <c r="A10" s="221"/>
      <c r="B10" s="222"/>
      <c r="C10" s="222"/>
      <c r="D10" s="223">
        <f>C9*D9</f>
        <v>16945.487999999998</v>
      </c>
      <c r="E10" s="223">
        <f>C9*E9</f>
        <v>14793.68</v>
      </c>
      <c r="F10" s="223">
        <f>C9*F9</f>
        <v>5009.6779999999999</v>
      </c>
      <c r="G10" s="223">
        <f>C9*G9</f>
        <v>7598.5719999999992</v>
      </c>
      <c r="H10" s="223">
        <f>C9*H9</f>
        <v>10422.82</v>
      </c>
      <c r="I10" s="223">
        <f>C9*I9</f>
        <v>8271.0119999999988</v>
      </c>
      <c r="J10" s="223"/>
      <c r="K10" s="223"/>
      <c r="L10" s="223"/>
      <c r="M10" s="223"/>
      <c r="N10" s="223">
        <f>C9*N9</f>
        <v>336.22</v>
      </c>
      <c r="O10" s="223">
        <f>C9*O9</f>
        <v>25821.695999999996</v>
      </c>
      <c r="P10" s="223">
        <f>C9*P9</f>
        <v>1244.0139999999999</v>
      </c>
      <c r="Q10" s="223">
        <f>C9*Q9</f>
        <v>2353.5399999999995</v>
      </c>
      <c r="R10" s="223">
        <f>C9*R9</f>
        <v>1714.722</v>
      </c>
      <c r="S10" s="223">
        <f>C9*S9</f>
        <v>0</v>
      </c>
      <c r="T10" s="223">
        <f>C9*T9</f>
        <v>1210.3919999999998</v>
      </c>
      <c r="U10" s="223">
        <f>C9*U9</f>
        <v>1176.7699999999998</v>
      </c>
      <c r="V10" s="223">
        <f>C9*V9</f>
        <v>0</v>
      </c>
      <c r="W10" s="223">
        <f>C9*W9</f>
        <v>504.32999999999993</v>
      </c>
      <c r="X10" s="223">
        <f>C9*X9</f>
        <v>1277.636</v>
      </c>
      <c r="Y10" s="223">
        <f>C9*Y9</f>
        <v>0</v>
      </c>
      <c r="Z10" s="224">
        <f>C9*Z9</f>
        <v>98680.57</v>
      </c>
      <c r="AA10" s="225">
        <f>C9*AA9</f>
        <v>32243.498</v>
      </c>
      <c r="AB10" s="226"/>
      <c r="AC10" s="227"/>
      <c r="AD10" s="227"/>
      <c r="AE10" s="227"/>
      <c r="AF10" s="227"/>
      <c r="AG10" s="233">
        <f>C9*AG9</f>
        <v>130924.06800000001</v>
      </c>
      <c r="AH10" s="228">
        <f>C9*AH9</f>
        <v>3133.0903143265114</v>
      </c>
      <c r="AI10" s="228">
        <f>C9*AI9</f>
        <v>939.01365929128974</v>
      </c>
      <c r="AJ10" s="228">
        <f>C9*AJ9</f>
        <v>0</v>
      </c>
      <c r="AK10" s="228">
        <f>C9*AK9</f>
        <v>905.16466678343647</v>
      </c>
      <c r="AL10" s="228">
        <f>D10+E10+G10+H10+I10+O10+P10+Q10+AA10</f>
        <v>119694.31999999998</v>
      </c>
      <c r="AM10" s="228">
        <f>F10+N10+R10+S10+T10+U10+V10+W10+X10+Y10</f>
        <v>11229.748</v>
      </c>
      <c r="AN10" s="228">
        <f>AH10+AI10+AJ10+AK10</f>
        <v>4977.2686404012375</v>
      </c>
    </row>
    <row r="11" spans="1:40">
      <c r="A11" s="101">
        <f>A9+1</f>
        <v>3</v>
      </c>
      <c r="B11" s="104" t="s">
        <v>8</v>
      </c>
      <c r="C11" s="66">
        <f>'Тех.хар-ка'!P12</f>
        <v>5561.2</v>
      </c>
      <c r="D11" s="84">
        <v>5.04</v>
      </c>
      <c r="E11" s="84">
        <v>5.8</v>
      </c>
      <c r="F11" s="84">
        <v>1.26</v>
      </c>
      <c r="G11" s="84">
        <v>2.38</v>
      </c>
      <c r="H11" s="84">
        <v>3.27</v>
      </c>
      <c r="I11" s="84">
        <v>3</v>
      </c>
      <c r="J11" s="84"/>
      <c r="K11" s="84"/>
      <c r="L11" s="84"/>
      <c r="M11" s="84"/>
      <c r="N11" s="84">
        <v>0.12</v>
      </c>
      <c r="O11" s="84">
        <v>6.16</v>
      </c>
      <c r="P11" s="84">
        <v>0.37</v>
      </c>
      <c r="Q11" s="84">
        <v>0.81</v>
      </c>
      <c r="R11" s="84">
        <v>0.31</v>
      </c>
      <c r="S11" s="84"/>
      <c r="T11" s="84">
        <v>0.22</v>
      </c>
      <c r="U11" s="84">
        <v>0.21</v>
      </c>
      <c r="V11" s="84"/>
      <c r="W11" s="84">
        <v>0.09</v>
      </c>
      <c r="X11" s="84">
        <v>0.23</v>
      </c>
      <c r="Y11" s="84"/>
      <c r="Z11" s="85">
        <f>SUM(D11:Y11)</f>
        <v>29.27</v>
      </c>
      <c r="AA11" s="86">
        <f t="shared" si="1"/>
        <v>9.5640000000000001</v>
      </c>
      <c r="AB11" s="87">
        <v>3.004</v>
      </c>
      <c r="AC11" s="88">
        <v>0.3</v>
      </c>
      <c r="AD11" s="88">
        <v>4.49</v>
      </c>
      <c r="AE11" s="88">
        <v>1.77</v>
      </c>
      <c r="AF11" s="88"/>
      <c r="AG11" s="232">
        <f>Z11+AA11</f>
        <v>38.834000000000003</v>
      </c>
      <c r="AH11" s="89">
        <v>1.1392119707924178</v>
      </c>
      <c r="AI11" s="89">
        <v>0.35254802201359664</v>
      </c>
      <c r="AJ11" s="89">
        <v>0</v>
      </c>
      <c r="AK11" s="89">
        <v>0.33983958562641631</v>
      </c>
      <c r="AL11" s="100"/>
      <c r="AM11" s="100"/>
      <c r="AN11" s="100"/>
    </row>
    <row r="12" spans="1:40" s="229" customFormat="1">
      <c r="A12" s="221"/>
      <c r="B12" s="222"/>
      <c r="C12" s="222"/>
      <c r="D12" s="223">
        <f>C11*D11</f>
        <v>28028.448</v>
      </c>
      <c r="E12" s="223">
        <f>C11*E11</f>
        <v>32254.959999999999</v>
      </c>
      <c r="F12" s="223">
        <f>C11*F11</f>
        <v>7007.1120000000001</v>
      </c>
      <c r="G12" s="223">
        <f>C11*G11</f>
        <v>13235.655999999999</v>
      </c>
      <c r="H12" s="223">
        <f>C11*H11</f>
        <v>18185.124</v>
      </c>
      <c r="I12" s="223">
        <f>C11*I11</f>
        <v>16683.599999999999</v>
      </c>
      <c r="J12" s="223"/>
      <c r="K12" s="223"/>
      <c r="L12" s="223"/>
      <c r="M12" s="223"/>
      <c r="N12" s="223">
        <f>C11*N11</f>
        <v>667.34399999999994</v>
      </c>
      <c r="O12" s="223">
        <f>C11*O11</f>
        <v>34256.991999999998</v>
      </c>
      <c r="P12" s="223">
        <f>C11*P11</f>
        <v>2057.6439999999998</v>
      </c>
      <c r="Q12" s="223">
        <f>C11*Q11</f>
        <v>4504.5720000000001</v>
      </c>
      <c r="R12" s="223">
        <f>C11*R11</f>
        <v>1723.972</v>
      </c>
      <c r="S12" s="223">
        <f>C11*S11</f>
        <v>0</v>
      </c>
      <c r="T12" s="223">
        <f>C11*T11</f>
        <v>1223.4639999999999</v>
      </c>
      <c r="U12" s="223">
        <f>C11*U11</f>
        <v>1167.8519999999999</v>
      </c>
      <c r="V12" s="223">
        <f>C11*V11</f>
        <v>0</v>
      </c>
      <c r="W12" s="223">
        <f>C11*W11</f>
        <v>500.50799999999998</v>
      </c>
      <c r="X12" s="223">
        <f>C11*X11</f>
        <v>1279.076</v>
      </c>
      <c r="Y12" s="223">
        <f>C11*Y11</f>
        <v>0</v>
      </c>
      <c r="Z12" s="224">
        <f>C11*Z11</f>
        <v>162776.32399999999</v>
      </c>
      <c r="AA12" s="225">
        <f>C11*AA11</f>
        <v>53187.316800000001</v>
      </c>
      <c r="AB12" s="226"/>
      <c r="AC12" s="227"/>
      <c r="AD12" s="227"/>
      <c r="AE12" s="227"/>
      <c r="AF12" s="227"/>
      <c r="AG12" s="233">
        <f>C11*AG11</f>
        <v>215963.64080000002</v>
      </c>
      <c r="AH12" s="228">
        <f>C11*AH11</f>
        <v>6335.3856119707934</v>
      </c>
      <c r="AI12" s="228">
        <f>C11*AI11</f>
        <v>1960.5900600220136</v>
      </c>
      <c r="AJ12" s="228">
        <f>C11*AJ11</f>
        <v>0</v>
      </c>
      <c r="AK12" s="228">
        <f>C11*AK11</f>
        <v>1889.9159035856262</v>
      </c>
      <c r="AL12" s="228">
        <f>D12+E12+G12+H12+I12+O12+P12+Q12+AA12</f>
        <v>202394.31279999999</v>
      </c>
      <c r="AM12" s="228">
        <f>F12+N12+R12+S12+T12+U12+V12+W12+X12+Y12</f>
        <v>13569.327999999998</v>
      </c>
      <c r="AN12" s="228">
        <f>AH12+AI12+AJ12+AK12</f>
        <v>10185.891575578433</v>
      </c>
    </row>
    <row r="13" spans="1:40">
      <c r="A13" s="101">
        <f>A11+1</f>
        <v>4</v>
      </c>
      <c r="B13" s="104" t="s">
        <v>9</v>
      </c>
      <c r="C13" s="66">
        <f>'Тех.хар-ка'!P13</f>
        <v>6389</v>
      </c>
      <c r="D13" s="84">
        <v>5.04</v>
      </c>
      <c r="E13" s="84">
        <v>2.36</v>
      </c>
      <c r="F13" s="84">
        <v>1.49</v>
      </c>
      <c r="G13" s="84">
        <v>3.05</v>
      </c>
      <c r="H13" s="84">
        <v>2.0699999999999998</v>
      </c>
      <c r="I13" s="84">
        <v>1.35</v>
      </c>
      <c r="J13" s="84"/>
      <c r="K13" s="84"/>
      <c r="L13" s="84"/>
      <c r="M13" s="84"/>
      <c r="N13" s="84">
        <v>0.1</v>
      </c>
      <c r="O13" s="84">
        <v>8.3800000000000008</v>
      </c>
      <c r="P13" s="84">
        <v>0.37</v>
      </c>
      <c r="Q13" s="84">
        <v>0.75</v>
      </c>
      <c r="R13" s="84">
        <v>0.27</v>
      </c>
      <c r="S13" s="84"/>
      <c r="T13" s="84">
        <v>0.19</v>
      </c>
      <c r="U13" s="84">
        <v>0.19</v>
      </c>
      <c r="V13" s="84"/>
      <c r="W13" s="84">
        <v>0.08</v>
      </c>
      <c r="X13" s="84">
        <v>0.2</v>
      </c>
      <c r="Y13" s="84"/>
      <c r="Z13" s="85">
        <f>SUM(D13:Y13)</f>
        <v>25.890000000000004</v>
      </c>
      <c r="AA13" s="86">
        <f t="shared" si="1"/>
        <v>12.7</v>
      </c>
      <c r="AB13" s="88">
        <v>7.96</v>
      </c>
      <c r="AC13" s="88"/>
      <c r="AD13" s="88">
        <v>2.0299999999999998</v>
      </c>
      <c r="AE13" s="88">
        <v>3.02</v>
      </c>
      <c r="AF13" s="88">
        <v>-0.31</v>
      </c>
      <c r="AG13" s="232">
        <f>Z13+AA13</f>
        <v>38.590000000000003</v>
      </c>
      <c r="AH13" s="89">
        <v>0.77730308135598547</v>
      </c>
      <c r="AI13" s="89">
        <v>0.11854715938971201</v>
      </c>
      <c r="AJ13" s="89">
        <v>0</v>
      </c>
      <c r="AK13" s="89">
        <v>0.11427384358615042</v>
      </c>
      <c r="AL13" s="100"/>
      <c r="AM13" s="100"/>
      <c r="AN13" s="100"/>
    </row>
    <row r="14" spans="1:40" s="229" customFormat="1">
      <c r="A14" s="221"/>
      <c r="B14" s="222"/>
      <c r="C14" s="222"/>
      <c r="D14" s="223">
        <f>C13*D13</f>
        <v>32200.560000000001</v>
      </c>
      <c r="E14" s="223">
        <f>C13*E13</f>
        <v>15078.039999999999</v>
      </c>
      <c r="F14" s="223">
        <f>C13*F13</f>
        <v>9519.61</v>
      </c>
      <c r="G14" s="223">
        <f>C13*G13</f>
        <v>19486.449999999997</v>
      </c>
      <c r="H14" s="223">
        <f>C13*H13</f>
        <v>13225.23</v>
      </c>
      <c r="I14" s="223">
        <f>C13*I13</f>
        <v>8625.1500000000015</v>
      </c>
      <c r="J14" s="223"/>
      <c r="K14" s="223"/>
      <c r="L14" s="223"/>
      <c r="M14" s="223"/>
      <c r="N14" s="223">
        <f>C13*N13</f>
        <v>638.90000000000009</v>
      </c>
      <c r="O14" s="223">
        <f>C13*O13</f>
        <v>53539.820000000007</v>
      </c>
      <c r="P14" s="223">
        <f>C13*P13</f>
        <v>2363.9299999999998</v>
      </c>
      <c r="Q14" s="223">
        <f>C13*Q13</f>
        <v>4791.75</v>
      </c>
      <c r="R14" s="223">
        <f>C13*R13</f>
        <v>1725.0300000000002</v>
      </c>
      <c r="S14" s="223">
        <f>C13*S13</f>
        <v>0</v>
      </c>
      <c r="T14" s="223">
        <f>C13*T13</f>
        <v>1213.9100000000001</v>
      </c>
      <c r="U14" s="223">
        <f>C13*U13</f>
        <v>1213.9100000000001</v>
      </c>
      <c r="V14" s="223">
        <f>C13*V13</f>
        <v>0</v>
      </c>
      <c r="W14" s="223">
        <f>C13*W13</f>
        <v>511.12</v>
      </c>
      <c r="X14" s="223">
        <f>C13*X13</f>
        <v>1277.8000000000002</v>
      </c>
      <c r="Y14" s="223">
        <f>C13*Y13</f>
        <v>0</v>
      </c>
      <c r="Z14" s="224">
        <f>C13*Z13</f>
        <v>165411.21000000002</v>
      </c>
      <c r="AA14" s="225">
        <f>C13*AA13</f>
        <v>81140.299999999988</v>
      </c>
      <c r="AB14" s="226"/>
      <c r="AC14" s="227"/>
      <c r="AD14" s="227"/>
      <c r="AE14" s="227"/>
      <c r="AF14" s="227"/>
      <c r="AG14" s="233">
        <f>C13*AG13</f>
        <v>246551.51</v>
      </c>
      <c r="AH14" s="228">
        <f>C13*AH13</f>
        <v>4966.1893867833915</v>
      </c>
      <c r="AI14" s="228">
        <f>C13*AI13</f>
        <v>757.39780134087005</v>
      </c>
      <c r="AJ14" s="228">
        <f>C13*AJ13</f>
        <v>0</v>
      </c>
      <c r="AK14" s="228">
        <f>C13*AK13</f>
        <v>730.09558667191504</v>
      </c>
      <c r="AL14" s="228">
        <f>D14+E14+G14+H14+I14+O14+P14+Q14+AA14</f>
        <v>230451.22999999998</v>
      </c>
      <c r="AM14" s="228">
        <f>F14+N14+R14+S14+T14+U14+V14+W14+X14+Y14</f>
        <v>16100.280000000002</v>
      </c>
      <c r="AN14" s="228">
        <f>AH14+AI14+AJ14+AK14</f>
        <v>6453.682774796177</v>
      </c>
    </row>
    <row r="15" spans="1:40">
      <c r="A15" s="101">
        <f>A13+1</f>
        <v>5</v>
      </c>
      <c r="B15" s="104" t="s">
        <v>10</v>
      </c>
      <c r="C15" s="66">
        <f>'Тех.хар-ка'!P14</f>
        <v>6315.3</v>
      </c>
      <c r="D15" s="84">
        <v>5.04</v>
      </c>
      <c r="E15" s="84">
        <v>2.17</v>
      </c>
      <c r="F15" s="84">
        <v>1.75</v>
      </c>
      <c r="G15" s="84">
        <v>3.09</v>
      </c>
      <c r="H15" s="84">
        <v>1.92</v>
      </c>
      <c r="I15" s="84">
        <v>1.25</v>
      </c>
      <c r="J15" s="84"/>
      <c r="K15" s="84"/>
      <c r="L15" s="84"/>
      <c r="M15" s="84"/>
      <c r="N15" s="84">
        <v>0.11</v>
      </c>
      <c r="O15" s="84">
        <v>9.6999999999999993</v>
      </c>
      <c r="P15" s="84">
        <v>0.37</v>
      </c>
      <c r="Q15" s="84">
        <v>0.9</v>
      </c>
      <c r="R15" s="84">
        <v>0.27</v>
      </c>
      <c r="S15" s="84"/>
      <c r="T15" s="84">
        <v>0.19</v>
      </c>
      <c r="U15" s="84">
        <v>0.19</v>
      </c>
      <c r="V15" s="84"/>
      <c r="W15" s="84">
        <v>0.08</v>
      </c>
      <c r="X15" s="84">
        <v>0.2</v>
      </c>
      <c r="Y15" s="84"/>
      <c r="Z15" s="85">
        <f>SUM(D15:Y15)</f>
        <v>27.23</v>
      </c>
      <c r="AA15" s="86">
        <f t="shared" si="1"/>
        <v>11.384</v>
      </c>
      <c r="AB15" s="87">
        <v>7.0540000000000003</v>
      </c>
      <c r="AC15" s="88"/>
      <c r="AD15" s="88">
        <v>1.88</v>
      </c>
      <c r="AE15" s="88">
        <v>3.02</v>
      </c>
      <c r="AF15" s="88">
        <v>-0.56999999999999995</v>
      </c>
      <c r="AG15" s="232">
        <f>Z15+AA15</f>
        <v>38.614000000000004</v>
      </c>
      <c r="AH15" s="89">
        <v>0.77514250325531164</v>
      </c>
      <c r="AI15" s="89">
        <v>9.9782894527900401E-2</v>
      </c>
      <c r="AJ15" s="89">
        <v>0</v>
      </c>
      <c r="AK15" s="89">
        <v>9.6185981516181282E-2</v>
      </c>
      <c r="AL15" s="100"/>
      <c r="AM15" s="100"/>
      <c r="AN15" s="100"/>
    </row>
    <row r="16" spans="1:40" s="229" customFormat="1">
      <c r="A16" s="221"/>
      <c r="B16" s="222"/>
      <c r="C16" s="222"/>
      <c r="D16" s="223">
        <f>C15*D15</f>
        <v>31829.112000000001</v>
      </c>
      <c r="E16" s="223">
        <f>C15*E15</f>
        <v>13704.200999999999</v>
      </c>
      <c r="F16" s="223">
        <f>C15*F15</f>
        <v>11051.775</v>
      </c>
      <c r="G16" s="223">
        <f>C15*G15</f>
        <v>19514.276999999998</v>
      </c>
      <c r="H16" s="223">
        <f>C15*H15</f>
        <v>12125.376</v>
      </c>
      <c r="I16" s="223">
        <f>C15*I15</f>
        <v>7894.125</v>
      </c>
      <c r="J16" s="223"/>
      <c r="K16" s="223"/>
      <c r="L16" s="223"/>
      <c r="M16" s="223"/>
      <c r="N16" s="223">
        <f>C15*N15</f>
        <v>694.68299999999999</v>
      </c>
      <c r="O16" s="223">
        <f>C15*O15</f>
        <v>61258.409999999996</v>
      </c>
      <c r="P16" s="223">
        <f>C15*P15</f>
        <v>2336.6610000000001</v>
      </c>
      <c r="Q16" s="223">
        <f>C15*Q15</f>
        <v>5683.77</v>
      </c>
      <c r="R16" s="223">
        <f>C15*R15</f>
        <v>1705.1310000000001</v>
      </c>
      <c r="S16" s="223">
        <f>C15*S15</f>
        <v>0</v>
      </c>
      <c r="T16" s="223">
        <f>C15*T15</f>
        <v>1199.9070000000002</v>
      </c>
      <c r="U16" s="223">
        <f>C15*U15</f>
        <v>1199.9070000000002</v>
      </c>
      <c r="V16" s="223">
        <f>C15*V15</f>
        <v>0</v>
      </c>
      <c r="W16" s="223">
        <f>C15*W15</f>
        <v>505.22400000000005</v>
      </c>
      <c r="X16" s="223">
        <f>C15*X15</f>
        <v>1263.0600000000002</v>
      </c>
      <c r="Y16" s="223">
        <f>C15*Y15</f>
        <v>0</v>
      </c>
      <c r="Z16" s="224">
        <f>C15*Z15</f>
        <v>171965.61900000001</v>
      </c>
      <c r="AA16" s="225">
        <f>C15*AA15</f>
        <v>71893.375200000009</v>
      </c>
      <c r="AB16" s="226"/>
      <c r="AC16" s="227"/>
      <c r="AD16" s="227"/>
      <c r="AE16" s="227"/>
      <c r="AF16" s="227"/>
      <c r="AG16" s="233">
        <f>C15*AG15</f>
        <v>243858.99420000004</v>
      </c>
      <c r="AH16" s="228">
        <f>C15*AH15</f>
        <v>4895.2574508082698</v>
      </c>
      <c r="AI16" s="228">
        <f>C15*AI15</f>
        <v>630.15891381204938</v>
      </c>
      <c r="AJ16" s="228">
        <f>C15*AJ15</f>
        <v>0</v>
      </c>
      <c r="AK16" s="228">
        <f>C15*AK15</f>
        <v>607.44332906913962</v>
      </c>
      <c r="AL16" s="228">
        <f>D16+E16+G16+H16+I16+O16+P16+Q16+AA16</f>
        <v>226239.30719999998</v>
      </c>
      <c r="AM16" s="228">
        <f>F16+N16+R16+S16+T16+U16+V16+W16+X16+Y16</f>
        <v>17619.686999999998</v>
      </c>
      <c r="AN16" s="228">
        <f>AH16+AI16+AJ16+AK16</f>
        <v>6132.8596936894592</v>
      </c>
    </row>
    <row r="17" spans="1:40">
      <c r="A17" s="101">
        <f>A15+1</f>
        <v>6</v>
      </c>
      <c r="B17" s="104" t="s">
        <v>11</v>
      </c>
      <c r="C17" s="66">
        <f>'Тех.хар-ка'!P15</f>
        <v>4612.1000000000004</v>
      </c>
      <c r="D17" s="84">
        <v>5.04</v>
      </c>
      <c r="E17" s="84">
        <v>4.76</v>
      </c>
      <c r="F17" s="84">
        <v>1.37</v>
      </c>
      <c r="G17" s="84">
        <v>2.11</v>
      </c>
      <c r="H17" s="84">
        <v>2.87</v>
      </c>
      <c r="I17" s="84">
        <v>2.4</v>
      </c>
      <c r="J17" s="84"/>
      <c r="K17" s="84"/>
      <c r="L17" s="84"/>
      <c r="M17" s="84"/>
      <c r="N17" s="84">
        <v>0.12</v>
      </c>
      <c r="O17" s="84">
        <v>8.27</v>
      </c>
      <c r="P17" s="84">
        <v>0.37</v>
      </c>
      <c r="Q17" s="84">
        <v>1.05</v>
      </c>
      <c r="R17" s="84">
        <v>0.37</v>
      </c>
      <c r="S17" s="84"/>
      <c r="T17" s="84">
        <v>0.27</v>
      </c>
      <c r="U17" s="84">
        <v>0.26</v>
      </c>
      <c r="V17" s="84"/>
      <c r="W17" s="84">
        <v>0.11</v>
      </c>
      <c r="X17" s="84">
        <v>0.27</v>
      </c>
      <c r="Y17" s="84"/>
      <c r="Z17" s="85">
        <f>SUM(D17:Y17)</f>
        <v>29.640000000000004</v>
      </c>
      <c r="AA17" s="86">
        <f t="shared" si="1"/>
        <v>9.34</v>
      </c>
      <c r="AB17" s="88">
        <v>2.96</v>
      </c>
      <c r="AC17" s="88">
        <v>0.74</v>
      </c>
      <c r="AD17" s="88">
        <v>3.59</v>
      </c>
      <c r="AE17" s="88">
        <v>2.2400000000000002</v>
      </c>
      <c r="AF17" s="88">
        <v>-0.19</v>
      </c>
      <c r="AG17" s="232">
        <f>Z17+AA17</f>
        <v>38.980000000000004</v>
      </c>
      <c r="AH17" s="89">
        <v>1.0925916359696639</v>
      </c>
      <c r="AI17" s="89">
        <v>0.32925670205850482</v>
      </c>
      <c r="AJ17" s="89">
        <v>0</v>
      </c>
      <c r="AK17" s="89">
        <v>0.31738785698808236</v>
      </c>
      <c r="AL17" s="100"/>
      <c r="AM17" s="100"/>
      <c r="AN17" s="100"/>
    </row>
    <row r="18" spans="1:40" s="229" customFormat="1">
      <c r="A18" s="221"/>
      <c r="B18" s="222"/>
      <c r="C18" s="222"/>
      <c r="D18" s="223">
        <f>C17*D17</f>
        <v>23244.984</v>
      </c>
      <c r="E18" s="223">
        <f>C17*E17</f>
        <v>21953.596000000001</v>
      </c>
      <c r="F18" s="223">
        <f>C17*F17</f>
        <v>6318.5770000000011</v>
      </c>
      <c r="G18" s="223">
        <f>C17*G17</f>
        <v>9731.5310000000009</v>
      </c>
      <c r="H18" s="223">
        <f>C17*H17</f>
        <v>13236.727000000001</v>
      </c>
      <c r="I18" s="223">
        <f>C17*I17</f>
        <v>11069.04</v>
      </c>
      <c r="J18" s="223"/>
      <c r="K18" s="223"/>
      <c r="L18" s="223"/>
      <c r="M18" s="223"/>
      <c r="N18" s="223">
        <f>C17*N17</f>
        <v>553.452</v>
      </c>
      <c r="O18" s="223">
        <f>C17*O17</f>
        <v>38142.067000000003</v>
      </c>
      <c r="P18" s="223">
        <f>C17*P17</f>
        <v>1706.4770000000001</v>
      </c>
      <c r="Q18" s="223">
        <f>C17*Q17</f>
        <v>4842.7050000000008</v>
      </c>
      <c r="R18" s="223">
        <f>C17*R17</f>
        <v>1706.4770000000001</v>
      </c>
      <c r="S18" s="223">
        <f>C17*S17</f>
        <v>0</v>
      </c>
      <c r="T18" s="223">
        <f>C17*T17</f>
        <v>1245.2670000000003</v>
      </c>
      <c r="U18" s="223">
        <f>C17*U17</f>
        <v>1199.1460000000002</v>
      </c>
      <c r="V18" s="223">
        <f>C17*V17</f>
        <v>0</v>
      </c>
      <c r="W18" s="223">
        <f>C17*W17</f>
        <v>507.33100000000002</v>
      </c>
      <c r="X18" s="223">
        <f>C17*X17</f>
        <v>1245.2670000000003</v>
      </c>
      <c r="Y18" s="223">
        <f>C17*Y17</f>
        <v>0</v>
      </c>
      <c r="Z18" s="224">
        <f>C17*Z17</f>
        <v>136702.64400000003</v>
      </c>
      <c r="AA18" s="225">
        <f>C17*AA17</f>
        <v>43077.014000000003</v>
      </c>
      <c r="AB18" s="226"/>
      <c r="AC18" s="227"/>
      <c r="AD18" s="227"/>
      <c r="AE18" s="227"/>
      <c r="AF18" s="227"/>
      <c r="AG18" s="233">
        <f>C17*AG17</f>
        <v>179779.65800000002</v>
      </c>
      <c r="AH18" s="228">
        <f>C17*AH17</f>
        <v>5039.1418842556877</v>
      </c>
      <c r="AI18" s="228">
        <f>C17*AI17</f>
        <v>1518.5648355640303</v>
      </c>
      <c r="AJ18" s="228">
        <f>C17*AJ17</f>
        <v>0</v>
      </c>
      <c r="AK18" s="228">
        <f>C17*AK17</f>
        <v>1463.8245352147349</v>
      </c>
      <c r="AL18" s="228">
        <f>D18+E18+G18+H18+I18+O18+P18+Q18+AA18</f>
        <v>167004.141</v>
      </c>
      <c r="AM18" s="228">
        <f>F18+N18+R18+S18+T18+U18+V18+W18+X18+Y18</f>
        <v>12775.517000000002</v>
      </c>
      <c r="AN18" s="228">
        <f>AH18+AI18+AJ18+AK18</f>
        <v>8021.5312550344534</v>
      </c>
    </row>
    <row r="19" spans="1:40">
      <c r="A19" s="101">
        <f>A17+1</f>
        <v>7</v>
      </c>
      <c r="B19" s="104" t="s">
        <v>12</v>
      </c>
      <c r="C19" s="66">
        <f>'Тех.хар-ка'!P16</f>
        <v>4601.5999999999995</v>
      </c>
      <c r="D19" s="84">
        <v>5.04</v>
      </c>
      <c r="E19" s="84">
        <v>4.7699999999999996</v>
      </c>
      <c r="F19" s="84">
        <v>1.29</v>
      </c>
      <c r="G19" s="84">
        <v>2.1</v>
      </c>
      <c r="H19" s="84">
        <v>2.87</v>
      </c>
      <c r="I19" s="84">
        <v>2.4</v>
      </c>
      <c r="J19" s="84"/>
      <c r="K19" s="84"/>
      <c r="L19" s="84"/>
      <c r="M19" s="84"/>
      <c r="N19" s="84">
        <v>0.11</v>
      </c>
      <c r="O19" s="84">
        <v>8.16</v>
      </c>
      <c r="P19" s="84">
        <v>0.37</v>
      </c>
      <c r="Q19" s="84">
        <v>1</v>
      </c>
      <c r="R19" s="84">
        <v>0.37</v>
      </c>
      <c r="S19" s="84"/>
      <c r="T19" s="84">
        <v>0.14000000000000001</v>
      </c>
      <c r="U19" s="84">
        <v>0.21</v>
      </c>
      <c r="V19" s="84">
        <v>0.19</v>
      </c>
      <c r="W19" s="84">
        <v>0.11</v>
      </c>
      <c r="X19" s="84">
        <v>0.17</v>
      </c>
      <c r="Y19" s="84"/>
      <c r="Z19" s="85">
        <f>SUM(D19:Y19)</f>
        <v>29.3</v>
      </c>
      <c r="AA19" s="86">
        <f t="shared" si="1"/>
        <v>9.64</v>
      </c>
      <c r="AB19" s="88">
        <v>3.07</v>
      </c>
      <c r="AC19" s="88">
        <v>0.75</v>
      </c>
      <c r="AD19" s="88">
        <v>3.6</v>
      </c>
      <c r="AE19" s="88">
        <v>2.2400000000000002</v>
      </c>
      <c r="AF19" s="88">
        <v>-0.02</v>
      </c>
      <c r="AG19" s="232">
        <f>Z19+AA19</f>
        <v>38.94</v>
      </c>
      <c r="AH19" s="89">
        <v>1.0609556722962705</v>
      </c>
      <c r="AI19" s="89">
        <v>0.32737696348717055</v>
      </c>
      <c r="AJ19" s="89">
        <v>0</v>
      </c>
      <c r="AK19" s="89">
        <v>0.31557587808796073</v>
      </c>
      <c r="AL19" s="100"/>
      <c r="AM19" s="100"/>
      <c r="AN19" s="100"/>
    </row>
    <row r="20" spans="1:40" s="229" customFormat="1">
      <c r="A20" s="221"/>
      <c r="B20" s="222"/>
      <c r="C20" s="222"/>
      <c r="D20" s="223">
        <f>C19*D19</f>
        <v>23192.063999999998</v>
      </c>
      <c r="E20" s="223">
        <f>C19*E19</f>
        <v>21949.631999999994</v>
      </c>
      <c r="F20" s="223">
        <f>C19*F19</f>
        <v>5936.0639999999994</v>
      </c>
      <c r="G20" s="223">
        <f>C19*G19</f>
        <v>9663.3599999999988</v>
      </c>
      <c r="H20" s="223">
        <f>C19*H19</f>
        <v>13206.591999999999</v>
      </c>
      <c r="I20" s="223">
        <f>C19*I19</f>
        <v>11043.839999999998</v>
      </c>
      <c r="J20" s="223"/>
      <c r="K20" s="223"/>
      <c r="L20" s="223"/>
      <c r="M20" s="223"/>
      <c r="N20" s="223">
        <f>C19*N19</f>
        <v>506.17599999999993</v>
      </c>
      <c r="O20" s="223">
        <f>C19*O19</f>
        <v>37549.055999999997</v>
      </c>
      <c r="P20" s="223">
        <f>C19*P19</f>
        <v>1702.5919999999999</v>
      </c>
      <c r="Q20" s="223">
        <f>C19*Q19</f>
        <v>4601.5999999999995</v>
      </c>
      <c r="R20" s="223">
        <f>C19*R19</f>
        <v>1702.5919999999999</v>
      </c>
      <c r="S20" s="223">
        <f>C19*S19</f>
        <v>0</v>
      </c>
      <c r="T20" s="223">
        <f>C19*T19</f>
        <v>644.22399999999993</v>
      </c>
      <c r="U20" s="223">
        <f>C19*U19</f>
        <v>966.3359999999999</v>
      </c>
      <c r="V20" s="223">
        <f>C19*V19</f>
        <v>874.30399999999986</v>
      </c>
      <c r="W20" s="223">
        <f>C19*W19</f>
        <v>506.17599999999993</v>
      </c>
      <c r="X20" s="223">
        <f>C19*X19</f>
        <v>782.27199999999993</v>
      </c>
      <c r="Y20" s="223">
        <f>C19*Y19</f>
        <v>0</v>
      </c>
      <c r="Z20" s="224">
        <f>C19*Z19</f>
        <v>134826.87999999998</v>
      </c>
      <c r="AA20" s="225">
        <f>C19*AA19</f>
        <v>44359.423999999999</v>
      </c>
      <c r="AB20" s="226"/>
      <c r="AC20" s="227"/>
      <c r="AD20" s="227"/>
      <c r="AE20" s="227"/>
      <c r="AF20" s="227"/>
      <c r="AG20" s="233">
        <f>C19*AG19</f>
        <v>179186.30399999997</v>
      </c>
      <c r="AH20" s="228">
        <f>C19*AH19</f>
        <v>4882.093621638518</v>
      </c>
      <c r="AI20" s="228">
        <f>C19*AI19</f>
        <v>1506.4578351825637</v>
      </c>
      <c r="AJ20" s="228">
        <f>C19*AJ19</f>
        <v>0</v>
      </c>
      <c r="AK20" s="228">
        <f>C19*AK19</f>
        <v>1452.1539606095598</v>
      </c>
      <c r="AL20" s="228">
        <f>D20+E20+G20+H20+I20+O20+P20+Q20+AA20</f>
        <v>167268.16</v>
      </c>
      <c r="AM20" s="228">
        <f>F20+N20+R20+S20+T20+U20+V20+W20+X20+Y20</f>
        <v>11918.143999999997</v>
      </c>
      <c r="AN20" s="228">
        <f>AH20+AI20+AJ20+AK20</f>
        <v>7840.7054174306413</v>
      </c>
    </row>
    <row r="21" spans="1:40">
      <c r="A21" s="101">
        <f>A19+1</f>
        <v>8</v>
      </c>
      <c r="B21" s="104" t="s">
        <v>13</v>
      </c>
      <c r="C21" s="66">
        <f>'Тех.хар-ка'!P17</f>
        <v>4643.2000000000007</v>
      </c>
      <c r="D21" s="84">
        <v>5.04</v>
      </c>
      <c r="E21" s="84">
        <v>5.58</v>
      </c>
      <c r="F21" s="84">
        <v>1.1499999999999999</v>
      </c>
      <c r="G21" s="84">
        <v>2.39</v>
      </c>
      <c r="H21" s="84">
        <v>3.28</v>
      </c>
      <c r="I21" s="84">
        <v>2.72</v>
      </c>
      <c r="J21" s="84"/>
      <c r="K21" s="84"/>
      <c r="L21" s="84"/>
      <c r="M21" s="84"/>
      <c r="N21" s="84">
        <v>0.11</v>
      </c>
      <c r="O21" s="84">
        <v>5.86</v>
      </c>
      <c r="P21" s="84">
        <v>0.37</v>
      </c>
      <c r="Q21" s="84">
        <v>0.85</v>
      </c>
      <c r="R21" s="84">
        <v>0.37</v>
      </c>
      <c r="S21" s="84"/>
      <c r="T21" s="84">
        <v>0.26</v>
      </c>
      <c r="U21" s="84">
        <v>0.25</v>
      </c>
      <c r="V21" s="84"/>
      <c r="W21" s="84">
        <v>0.11</v>
      </c>
      <c r="X21" s="84">
        <v>0.27</v>
      </c>
      <c r="Y21" s="84"/>
      <c r="Z21" s="85">
        <f>SUM(D21:Y21)</f>
        <v>28.610000000000003</v>
      </c>
      <c r="AA21" s="86">
        <f t="shared" si="1"/>
        <v>10.294</v>
      </c>
      <c r="AB21" s="87">
        <v>3.1739999999999999</v>
      </c>
      <c r="AC21" s="88">
        <v>0.55000000000000004</v>
      </c>
      <c r="AD21" s="88">
        <v>4.08</v>
      </c>
      <c r="AE21" s="88">
        <v>2.4900000000000002</v>
      </c>
      <c r="AF21" s="88"/>
      <c r="AG21" s="232">
        <f>Z21+AA21</f>
        <v>38.904000000000003</v>
      </c>
      <c r="AH21" s="89">
        <v>1.0657635639728829</v>
      </c>
      <c r="AI21" s="89">
        <v>0.33495430453029162</v>
      </c>
      <c r="AJ21" s="89">
        <v>0</v>
      </c>
      <c r="AK21" s="89">
        <v>0.32288007575594529</v>
      </c>
      <c r="AL21" s="100"/>
      <c r="AM21" s="100"/>
      <c r="AN21" s="100"/>
    </row>
    <row r="22" spans="1:40" s="229" customFormat="1">
      <c r="A22" s="221"/>
      <c r="B22" s="222"/>
      <c r="C22" s="222"/>
      <c r="D22" s="223">
        <f>C21*D21</f>
        <v>23401.728000000003</v>
      </c>
      <c r="E22" s="223">
        <f>C21*E21</f>
        <v>25909.056000000004</v>
      </c>
      <c r="F22" s="223">
        <f>C21*F21</f>
        <v>5339.68</v>
      </c>
      <c r="G22" s="223">
        <f>C21*G21</f>
        <v>11097.248000000001</v>
      </c>
      <c r="H22" s="223">
        <f>C21*H21</f>
        <v>15229.696000000002</v>
      </c>
      <c r="I22" s="223">
        <f>C21*I21</f>
        <v>12629.504000000003</v>
      </c>
      <c r="J22" s="223"/>
      <c r="K22" s="223"/>
      <c r="L22" s="223"/>
      <c r="M22" s="223"/>
      <c r="N22" s="223">
        <f>C21*N21</f>
        <v>510.75200000000007</v>
      </c>
      <c r="O22" s="223">
        <f>C21*O21</f>
        <v>27209.152000000006</v>
      </c>
      <c r="P22" s="223">
        <f>C21*P21</f>
        <v>1717.9840000000002</v>
      </c>
      <c r="Q22" s="223">
        <f>C21*Q21</f>
        <v>3946.7200000000007</v>
      </c>
      <c r="R22" s="223">
        <f>C21*R21</f>
        <v>1717.9840000000002</v>
      </c>
      <c r="S22" s="223">
        <f>C21*S21</f>
        <v>0</v>
      </c>
      <c r="T22" s="223">
        <f>C21*T21</f>
        <v>1207.2320000000002</v>
      </c>
      <c r="U22" s="223">
        <f>C21*U21</f>
        <v>1160.8000000000002</v>
      </c>
      <c r="V22" s="223">
        <f>C21*V21</f>
        <v>0</v>
      </c>
      <c r="W22" s="223">
        <f>C21*W21</f>
        <v>510.75200000000007</v>
      </c>
      <c r="X22" s="223">
        <f>C21*X21</f>
        <v>1253.6640000000002</v>
      </c>
      <c r="Y22" s="223">
        <f>C21*Y21</f>
        <v>0</v>
      </c>
      <c r="Z22" s="224">
        <f>C21*Z21</f>
        <v>132841.95200000005</v>
      </c>
      <c r="AA22" s="225">
        <f>C21*AA21</f>
        <v>47797.100800000007</v>
      </c>
      <c r="AB22" s="226"/>
      <c r="AC22" s="227"/>
      <c r="AD22" s="227"/>
      <c r="AE22" s="227"/>
      <c r="AF22" s="227"/>
      <c r="AG22" s="233">
        <f>C21*AG21</f>
        <v>180639.05280000003</v>
      </c>
      <c r="AH22" s="228">
        <f>C21*AH21</f>
        <v>4948.5533802388909</v>
      </c>
      <c r="AI22" s="228">
        <f>C21*AI21</f>
        <v>1555.2598267950502</v>
      </c>
      <c r="AJ22" s="228">
        <f>C21*AJ21</f>
        <v>0</v>
      </c>
      <c r="AK22" s="228">
        <f>C21*AK21</f>
        <v>1499.1967677500054</v>
      </c>
      <c r="AL22" s="228">
        <f>D22+E22+G22+H22+I22+O22+P22+Q22+AA22</f>
        <v>168938.1888</v>
      </c>
      <c r="AM22" s="228">
        <f>F22+N22+R22+S22+T22+U22+V22+W22+X22+Y22</f>
        <v>11700.864000000001</v>
      </c>
      <c r="AN22" s="228">
        <f>AH22+AI22+AJ22+AK22</f>
        <v>8003.0099747839467</v>
      </c>
    </row>
    <row r="23" spans="1:40">
      <c r="A23" s="101">
        <f>A21+1</f>
        <v>9</v>
      </c>
      <c r="B23" s="104" t="s">
        <v>14</v>
      </c>
      <c r="C23" s="66">
        <f>'Тех.хар-ка'!P18</f>
        <v>3471.7000000000003</v>
      </c>
      <c r="D23" s="84">
        <v>5.04</v>
      </c>
      <c r="E23" s="84">
        <v>5.93</v>
      </c>
      <c r="F23" s="84">
        <v>1.37</v>
      </c>
      <c r="G23" s="84">
        <v>2.2200000000000002</v>
      </c>
      <c r="H23" s="84">
        <v>3.03</v>
      </c>
      <c r="I23" s="84">
        <v>2.83</v>
      </c>
      <c r="J23" s="84"/>
      <c r="K23" s="84"/>
      <c r="L23" s="84"/>
      <c r="M23" s="84"/>
      <c r="N23" s="84">
        <v>0.11</v>
      </c>
      <c r="O23" s="84">
        <v>5.66</v>
      </c>
      <c r="P23" s="84">
        <v>0.37</v>
      </c>
      <c r="Q23" s="84">
        <v>0.64</v>
      </c>
      <c r="R23" s="84">
        <v>0.49</v>
      </c>
      <c r="S23" s="84"/>
      <c r="T23" s="84">
        <v>0.35</v>
      </c>
      <c r="U23" s="84">
        <v>0.34</v>
      </c>
      <c r="V23" s="84"/>
      <c r="W23" s="84">
        <v>0.14000000000000001</v>
      </c>
      <c r="X23" s="84">
        <v>0.36</v>
      </c>
      <c r="Y23" s="84"/>
      <c r="Z23" s="85">
        <f>SUM(D23:Y23)</f>
        <v>28.880000000000003</v>
      </c>
      <c r="AA23" s="86">
        <f t="shared" si="1"/>
        <v>10.06</v>
      </c>
      <c r="AB23" s="88">
        <v>3.1</v>
      </c>
      <c r="AC23" s="88">
        <v>0.91</v>
      </c>
      <c r="AD23" s="88">
        <v>4.25</v>
      </c>
      <c r="AE23" s="88">
        <v>2.4</v>
      </c>
      <c r="AF23" s="88">
        <v>-0.6</v>
      </c>
      <c r="AG23" s="232">
        <f>Z23+AA23</f>
        <v>38.940000000000005</v>
      </c>
      <c r="AH23" s="89">
        <v>1.0458805781079059</v>
      </c>
      <c r="AI23" s="89">
        <v>0.32259542580756606</v>
      </c>
      <c r="AJ23" s="89">
        <v>0</v>
      </c>
      <c r="AK23" s="89">
        <v>0.31096670236655727</v>
      </c>
      <c r="AL23" s="100"/>
      <c r="AM23" s="100"/>
      <c r="AN23" s="100"/>
    </row>
    <row r="24" spans="1:40" s="229" customFormat="1">
      <c r="A24" s="221"/>
      <c r="B24" s="222"/>
      <c r="C24" s="222"/>
      <c r="D24" s="223">
        <f>C23*D23</f>
        <v>17497.368000000002</v>
      </c>
      <c r="E24" s="223">
        <f>C23*E23</f>
        <v>20587.181</v>
      </c>
      <c r="F24" s="223">
        <f>C23*F23</f>
        <v>4756.2290000000012</v>
      </c>
      <c r="G24" s="223">
        <f>C23*G23</f>
        <v>7707.1740000000009</v>
      </c>
      <c r="H24" s="223">
        <f>C23*H23</f>
        <v>10519.251</v>
      </c>
      <c r="I24" s="223">
        <f>C23*I23</f>
        <v>9824.9110000000019</v>
      </c>
      <c r="J24" s="223"/>
      <c r="K24" s="223"/>
      <c r="L24" s="223"/>
      <c r="M24" s="223"/>
      <c r="N24" s="223">
        <f>C23*N23</f>
        <v>381.88700000000006</v>
      </c>
      <c r="O24" s="223">
        <f>C23*O23</f>
        <v>19649.822000000004</v>
      </c>
      <c r="P24" s="223">
        <f>C23*P23</f>
        <v>1284.529</v>
      </c>
      <c r="Q24" s="223">
        <f>C23*Q23</f>
        <v>2221.8880000000004</v>
      </c>
      <c r="R24" s="223">
        <f>C23*R23</f>
        <v>1701.133</v>
      </c>
      <c r="S24" s="223">
        <f>C23*S23</f>
        <v>0</v>
      </c>
      <c r="T24" s="223">
        <f>C23*T23</f>
        <v>1215.095</v>
      </c>
      <c r="U24" s="223">
        <f>C23*U23</f>
        <v>1180.3780000000002</v>
      </c>
      <c r="V24" s="223">
        <f>C23*V23</f>
        <v>0</v>
      </c>
      <c r="W24" s="223">
        <f>C23*W23</f>
        <v>486.03800000000007</v>
      </c>
      <c r="X24" s="223">
        <f>C23*X23</f>
        <v>1249.8120000000001</v>
      </c>
      <c r="Y24" s="223">
        <f>C23*Y23</f>
        <v>0</v>
      </c>
      <c r="Z24" s="224">
        <f>C23*Z23</f>
        <v>100262.69600000001</v>
      </c>
      <c r="AA24" s="225">
        <f>C23*AA23</f>
        <v>34925.302000000003</v>
      </c>
      <c r="AB24" s="226"/>
      <c r="AC24" s="227"/>
      <c r="AD24" s="227"/>
      <c r="AE24" s="227"/>
      <c r="AF24" s="227"/>
      <c r="AG24" s="233">
        <f>C23*AG23</f>
        <v>135187.99800000002</v>
      </c>
      <c r="AH24" s="228">
        <f>C23*AH23</f>
        <v>3630.9836030172173</v>
      </c>
      <c r="AI24" s="228">
        <f>C23*AI23</f>
        <v>1119.9545397761271</v>
      </c>
      <c r="AJ24" s="228">
        <f>C23*AJ23</f>
        <v>0</v>
      </c>
      <c r="AK24" s="228">
        <f>C23*AK23</f>
        <v>1079.5831006059771</v>
      </c>
      <c r="AL24" s="228">
        <f>D24+E24+G24+H24+I24+O24+P24+Q24+AA24</f>
        <v>124217.42600000001</v>
      </c>
      <c r="AM24" s="228">
        <f>F24+N24+R24+S24+T24+U24+V24+W24+X24+Y24</f>
        <v>10970.572000000002</v>
      </c>
      <c r="AN24" s="228">
        <f>AH24+AI24+AJ24+AK24</f>
        <v>5830.5212433993211</v>
      </c>
    </row>
    <row r="25" spans="1:40">
      <c r="A25" s="101">
        <f>A23+1</f>
        <v>10</v>
      </c>
      <c r="B25" s="104" t="s">
        <v>15</v>
      </c>
      <c r="C25" s="66">
        <f>'Тех.хар-ка'!P19</f>
        <v>5507</v>
      </c>
      <c r="D25" s="84">
        <v>5.04</v>
      </c>
      <c r="E25" s="84">
        <v>5.66</v>
      </c>
      <c r="F25" s="84">
        <v>1.39</v>
      </c>
      <c r="G25" s="84">
        <v>2.2400000000000002</v>
      </c>
      <c r="H25" s="84">
        <v>3.08</v>
      </c>
      <c r="I25" s="84">
        <v>2.9</v>
      </c>
      <c r="J25" s="84"/>
      <c r="K25" s="84"/>
      <c r="L25" s="84"/>
      <c r="M25" s="84"/>
      <c r="N25" s="84">
        <v>0.11</v>
      </c>
      <c r="O25" s="84">
        <v>5.78</v>
      </c>
      <c r="P25" s="84">
        <v>0.37</v>
      </c>
      <c r="Q25" s="84">
        <v>0.55000000000000004</v>
      </c>
      <c r="R25" s="84">
        <v>0.31</v>
      </c>
      <c r="S25" s="84"/>
      <c r="T25" s="84">
        <v>0.22</v>
      </c>
      <c r="U25" s="84">
        <v>0.21</v>
      </c>
      <c r="V25" s="84"/>
      <c r="W25" s="84">
        <v>0.09</v>
      </c>
      <c r="X25" s="84">
        <v>0.23</v>
      </c>
      <c r="Y25" s="84"/>
      <c r="Z25" s="85">
        <f>SUM(D25:Y25)</f>
        <v>28.18</v>
      </c>
      <c r="AA25" s="86">
        <f t="shared" si="1"/>
        <v>10.754</v>
      </c>
      <c r="AB25" s="87">
        <v>3.294</v>
      </c>
      <c r="AC25" s="88">
        <v>0.75</v>
      </c>
      <c r="AD25" s="88">
        <v>4.3499999999999996</v>
      </c>
      <c r="AE25" s="88">
        <v>2.36</v>
      </c>
      <c r="AF25" s="88"/>
      <c r="AG25" s="232">
        <f>Z25+AA25</f>
        <v>38.933999999999997</v>
      </c>
      <c r="AH25" s="89">
        <v>1.033596592911832</v>
      </c>
      <c r="AI25" s="89">
        <v>0.31298231846244978</v>
      </c>
      <c r="AJ25" s="89">
        <v>0</v>
      </c>
      <c r="AK25" s="89">
        <v>0.30170012246040029</v>
      </c>
      <c r="AL25" s="100"/>
      <c r="AM25" s="100"/>
      <c r="AN25" s="100"/>
    </row>
    <row r="26" spans="1:40" s="229" customFormat="1">
      <c r="A26" s="221"/>
      <c r="B26" s="222"/>
      <c r="C26" s="222"/>
      <c r="D26" s="223">
        <f>C25*D25</f>
        <v>27755.279999999999</v>
      </c>
      <c r="E26" s="223">
        <f>C25*E25</f>
        <v>31169.62</v>
      </c>
      <c r="F26" s="223">
        <f>C25*F25</f>
        <v>7654.73</v>
      </c>
      <c r="G26" s="223">
        <f>C25*G25</f>
        <v>12335.68</v>
      </c>
      <c r="H26" s="223">
        <f>C25*H25</f>
        <v>16961.560000000001</v>
      </c>
      <c r="I26" s="223">
        <f>C25*I25</f>
        <v>15970.3</v>
      </c>
      <c r="J26" s="223"/>
      <c r="K26" s="223"/>
      <c r="L26" s="223"/>
      <c r="M26" s="223"/>
      <c r="N26" s="223">
        <f>C25*N25</f>
        <v>605.77</v>
      </c>
      <c r="O26" s="223">
        <f>C25*O25</f>
        <v>31830.460000000003</v>
      </c>
      <c r="P26" s="223">
        <f>C25*P25</f>
        <v>2037.59</v>
      </c>
      <c r="Q26" s="223">
        <f>C25*Q25</f>
        <v>3028.8500000000004</v>
      </c>
      <c r="R26" s="223">
        <f>C25*R25</f>
        <v>1707.17</v>
      </c>
      <c r="S26" s="223">
        <f>C25*S25</f>
        <v>0</v>
      </c>
      <c r="T26" s="223">
        <f>C25*T25</f>
        <v>1211.54</v>
      </c>
      <c r="U26" s="223">
        <f>C25*U25</f>
        <v>1156.47</v>
      </c>
      <c r="V26" s="223">
        <f>C25*V25</f>
        <v>0</v>
      </c>
      <c r="W26" s="223">
        <f>C25*W25</f>
        <v>495.63</v>
      </c>
      <c r="X26" s="223">
        <f>C25*X25</f>
        <v>1266.6100000000001</v>
      </c>
      <c r="Y26" s="223">
        <f>C25*Y25</f>
        <v>0</v>
      </c>
      <c r="Z26" s="224">
        <f>C25*Z25</f>
        <v>155187.26</v>
      </c>
      <c r="AA26" s="225">
        <f>C25*AA25</f>
        <v>59222.277999999998</v>
      </c>
      <c r="AB26" s="226"/>
      <c r="AC26" s="227"/>
      <c r="AD26" s="227"/>
      <c r="AE26" s="227"/>
      <c r="AF26" s="227"/>
      <c r="AG26" s="233">
        <f>C25*AG25</f>
        <v>214409.538</v>
      </c>
      <c r="AH26" s="228">
        <f>C25*AH25</f>
        <v>5692.0164371654591</v>
      </c>
      <c r="AI26" s="228">
        <f>C25*AI25</f>
        <v>1723.593627772711</v>
      </c>
      <c r="AJ26" s="228">
        <f>C25*AJ25</f>
        <v>0</v>
      </c>
      <c r="AK26" s="228">
        <f>C25*AK25</f>
        <v>1661.4625743894244</v>
      </c>
      <c r="AL26" s="228">
        <f>D26+E26+G26+H26+I26+O26+P26+Q26+AA26</f>
        <v>200311.61799999999</v>
      </c>
      <c r="AM26" s="228">
        <f>F26+N26+R26+S26+T26+U26+V26+W26+X26+Y26</f>
        <v>14097.919999999998</v>
      </c>
      <c r="AN26" s="228">
        <f>AH26+AI26+AJ26+AK26</f>
        <v>9077.0726393275945</v>
      </c>
    </row>
    <row r="27" spans="1:40">
      <c r="A27" s="101">
        <f>A25+1</f>
        <v>11</v>
      </c>
      <c r="B27" s="104" t="s">
        <v>16</v>
      </c>
      <c r="C27" s="66">
        <f>'Тех.хар-ка'!P20</f>
        <v>5504.3</v>
      </c>
      <c r="D27" s="84">
        <v>5.04</v>
      </c>
      <c r="E27" s="84">
        <v>5.76</v>
      </c>
      <c r="F27" s="84">
        <v>1.23</v>
      </c>
      <c r="G27" s="84">
        <v>2.19</v>
      </c>
      <c r="H27" s="84">
        <v>3</v>
      </c>
      <c r="I27" s="84">
        <v>2.81</v>
      </c>
      <c r="J27" s="84"/>
      <c r="K27" s="84"/>
      <c r="L27" s="84"/>
      <c r="M27" s="84"/>
      <c r="N27" s="84">
        <v>0.11</v>
      </c>
      <c r="O27" s="84">
        <v>6.31</v>
      </c>
      <c r="P27" s="84">
        <v>0.37</v>
      </c>
      <c r="Q27" s="84">
        <v>0.6</v>
      </c>
      <c r="R27" s="84"/>
      <c r="S27" s="84"/>
      <c r="T27" s="84"/>
      <c r="U27" s="84"/>
      <c r="V27" s="84"/>
      <c r="W27" s="84"/>
      <c r="X27" s="84">
        <v>0.23</v>
      </c>
      <c r="Y27" s="84"/>
      <c r="Z27" s="85">
        <f>SUM(D27:Y27)</f>
        <v>27.65</v>
      </c>
      <c r="AA27" s="86">
        <f t="shared" si="1"/>
        <v>10.3</v>
      </c>
      <c r="AB27" s="88">
        <v>3.12</v>
      </c>
      <c r="AC27" s="88">
        <v>0.66</v>
      </c>
      <c r="AD27" s="88">
        <v>4.22</v>
      </c>
      <c r="AE27" s="88">
        <v>2.2999999999999998</v>
      </c>
      <c r="AF27" s="88"/>
      <c r="AG27" s="232">
        <f>Z27+AA27</f>
        <v>37.950000000000003</v>
      </c>
      <c r="AH27" s="89">
        <v>1.0361198640716711</v>
      </c>
      <c r="AI27" s="89">
        <v>0.3173946028457722</v>
      </c>
      <c r="AJ27" s="89">
        <v>0</v>
      </c>
      <c r="AK27" s="89">
        <v>0.30595335550346181</v>
      </c>
      <c r="AL27" s="100"/>
      <c r="AM27" s="100"/>
      <c r="AN27" s="100"/>
    </row>
    <row r="28" spans="1:40" s="229" customFormat="1">
      <c r="A28" s="221"/>
      <c r="B28" s="222"/>
      <c r="C28" s="222"/>
      <c r="D28" s="223">
        <f>C27*D27</f>
        <v>27741.672000000002</v>
      </c>
      <c r="E28" s="223">
        <f>C27*E27</f>
        <v>31704.768</v>
      </c>
      <c r="F28" s="223">
        <f>C27*F27</f>
        <v>6770.2889999999998</v>
      </c>
      <c r="G28" s="223">
        <f>C27*G27</f>
        <v>12054.416999999999</v>
      </c>
      <c r="H28" s="223">
        <f>C27*H27</f>
        <v>16512.900000000001</v>
      </c>
      <c r="I28" s="223">
        <f>C27*I27</f>
        <v>15467.083000000001</v>
      </c>
      <c r="J28" s="223"/>
      <c r="K28" s="223"/>
      <c r="L28" s="223"/>
      <c r="M28" s="223"/>
      <c r="N28" s="223">
        <f>C27*N27</f>
        <v>605.47300000000007</v>
      </c>
      <c r="O28" s="223">
        <f>C27*O27</f>
        <v>34732.133000000002</v>
      </c>
      <c r="P28" s="223">
        <f>C27*P27</f>
        <v>2036.5910000000001</v>
      </c>
      <c r="Q28" s="223">
        <f>C27*Q27</f>
        <v>3302.58</v>
      </c>
      <c r="R28" s="223">
        <f>C27*R27</f>
        <v>0</v>
      </c>
      <c r="S28" s="223">
        <f>C27*S27</f>
        <v>0</v>
      </c>
      <c r="T28" s="223">
        <f>C27*T27</f>
        <v>0</v>
      </c>
      <c r="U28" s="223">
        <f>C27*U27</f>
        <v>0</v>
      </c>
      <c r="V28" s="223">
        <f>C27*V27</f>
        <v>0</v>
      </c>
      <c r="W28" s="223">
        <f>C27*W27</f>
        <v>0</v>
      </c>
      <c r="X28" s="223">
        <f>C27*X27</f>
        <v>1265.989</v>
      </c>
      <c r="Y28" s="223">
        <f>C27*Y27</f>
        <v>0</v>
      </c>
      <c r="Z28" s="224">
        <f>C27*Z27</f>
        <v>152193.89499999999</v>
      </c>
      <c r="AA28" s="225">
        <f>C27*AA27</f>
        <v>56694.290000000008</v>
      </c>
      <c r="AB28" s="226"/>
      <c r="AC28" s="227"/>
      <c r="AD28" s="227"/>
      <c r="AE28" s="227"/>
      <c r="AF28" s="227"/>
      <c r="AG28" s="233">
        <f>C27*AG27</f>
        <v>208888.18500000003</v>
      </c>
      <c r="AH28" s="228">
        <f>C27*AH27</f>
        <v>5703.1145678096991</v>
      </c>
      <c r="AI28" s="228">
        <f>C27*AI27</f>
        <v>1747.035112443984</v>
      </c>
      <c r="AJ28" s="228">
        <f>C27*AJ27</f>
        <v>0</v>
      </c>
      <c r="AK28" s="228">
        <f>C27*AK27</f>
        <v>1684.0590546977048</v>
      </c>
      <c r="AL28" s="228">
        <f>D28+E28+G28+H28+I28+O28+P28+Q28+AA28</f>
        <v>200246.43399999998</v>
      </c>
      <c r="AM28" s="228">
        <f>F28+N28+R28+S28+T28+U28+V28+W28+X28+Y28</f>
        <v>8641.7510000000002</v>
      </c>
      <c r="AN28" s="228">
        <f>AH28+AI28+AJ28+AK28</f>
        <v>9134.2087349513877</v>
      </c>
    </row>
    <row r="29" spans="1:40" s="248" customFormat="1">
      <c r="A29" s="242">
        <f>A27+1</f>
        <v>12</v>
      </c>
      <c r="B29" s="243" t="s">
        <v>17</v>
      </c>
      <c r="C29" s="244">
        <f>'Тех.хар-ка'!P21</f>
        <v>894.9</v>
      </c>
      <c r="D29" s="245">
        <v>5.04</v>
      </c>
      <c r="E29" s="245">
        <v>5.03</v>
      </c>
      <c r="F29" s="245">
        <v>1.28</v>
      </c>
      <c r="G29" s="245">
        <v>3.08</v>
      </c>
      <c r="H29" s="245">
        <v>3.48</v>
      </c>
      <c r="I29" s="245">
        <v>2.86</v>
      </c>
      <c r="J29" s="245"/>
      <c r="K29" s="245"/>
      <c r="L29" s="245"/>
      <c r="M29" s="245"/>
      <c r="N29" s="245">
        <v>0.11</v>
      </c>
      <c r="O29" s="245">
        <v>2.3199999999999998</v>
      </c>
      <c r="P29" s="245">
        <v>0.37</v>
      </c>
      <c r="Q29" s="245">
        <v>0.81</v>
      </c>
      <c r="R29" s="245"/>
      <c r="S29" s="245"/>
      <c r="T29" s="245"/>
      <c r="U29" s="245"/>
      <c r="V29" s="245"/>
      <c r="W29" s="245"/>
      <c r="X29" s="245">
        <v>0.7</v>
      </c>
      <c r="Y29" s="245"/>
      <c r="Z29" s="246">
        <f>SUM(D29:Y29)</f>
        <v>25.08</v>
      </c>
      <c r="AA29" s="246">
        <f t="shared" si="1"/>
        <v>13.15</v>
      </c>
      <c r="AB29" s="247">
        <v>6.16</v>
      </c>
      <c r="AC29" s="247"/>
      <c r="AD29" s="247">
        <v>4.29</v>
      </c>
      <c r="AE29" s="247">
        <v>2.94</v>
      </c>
      <c r="AF29" s="247">
        <v>-0.24</v>
      </c>
      <c r="AG29" s="246">
        <f>Z29+AA29</f>
        <v>38.229999999999997</v>
      </c>
      <c r="AH29" s="244">
        <v>1.0776229746340371</v>
      </c>
      <c r="AI29" s="244">
        <v>0.36034137445524633</v>
      </c>
      <c r="AJ29" s="244">
        <v>0</v>
      </c>
      <c r="AK29" s="244">
        <v>0.34735200804559163</v>
      </c>
      <c r="AL29" s="243"/>
      <c r="AM29" s="243"/>
      <c r="AN29" s="243"/>
    </row>
    <row r="30" spans="1:40" s="229" customFormat="1">
      <c r="A30" s="221"/>
      <c r="B30" s="222"/>
      <c r="C30" s="222"/>
      <c r="D30" s="223">
        <f>C29*D29</f>
        <v>4510.2960000000003</v>
      </c>
      <c r="E30" s="223">
        <f>C29*E29</f>
        <v>4501.3469999999998</v>
      </c>
      <c r="F30" s="223">
        <f>C29*F29</f>
        <v>1145.472</v>
      </c>
      <c r="G30" s="223">
        <f>C29*G29</f>
        <v>2756.2919999999999</v>
      </c>
      <c r="H30" s="223">
        <f>C29*H29</f>
        <v>3114.252</v>
      </c>
      <c r="I30" s="223">
        <f>C29*I29</f>
        <v>2559.4139999999998</v>
      </c>
      <c r="J30" s="223"/>
      <c r="K30" s="223"/>
      <c r="L30" s="223"/>
      <c r="M30" s="223"/>
      <c r="N30" s="223">
        <f>C29*N29</f>
        <v>98.438999999999993</v>
      </c>
      <c r="O30" s="223">
        <f>C29*O29</f>
        <v>2076.1679999999997</v>
      </c>
      <c r="P30" s="223">
        <f>C29*P29</f>
        <v>331.113</v>
      </c>
      <c r="Q30" s="223">
        <f>C29*Q29</f>
        <v>724.86900000000003</v>
      </c>
      <c r="R30" s="223">
        <f>C29*R29</f>
        <v>0</v>
      </c>
      <c r="S30" s="223">
        <f>C29*S29</f>
        <v>0</v>
      </c>
      <c r="T30" s="223">
        <f>C29*T29</f>
        <v>0</v>
      </c>
      <c r="U30" s="223">
        <f>C29*U29</f>
        <v>0</v>
      </c>
      <c r="V30" s="223">
        <f>C29*V29</f>
        <v>0</v>
      </c>
      <c r="W30" s="223">
        <f>C29*W29</f>
        <v>0</v>
      </c>
      <c r="X30" s="223">
        <f>C29*X29</f>
        <v>626.42999999999995</v>
      </c>
      <c r="Y30" s="223">
        <f>C29*Y29</f>
        <v>0</v>
      </c>
      <c r="Z30" s="224">
        <f>C29*Z29</f>
        <v>22444.091999999997</v>
      </c>
      <c r="AA30" s="225">
        <f>C29*AA29</f>
        <v>11767.934999999999</v>
      </c>
      <c r="AB30" s="226"/>
      <c r="AC30" s="227"/>
      <c r="AD30" s="227"/>
      <c r="AE30" s="227"/>
      <c r="AF30" s="227"/>
      <c r="AG30" s="233">
        <f>C29*AG29</f>
        <v>34212.026999999995</v>
      </c>
      <c r="AH30" s="228">
        <f>C29*AH29</f>
        <v>964.36479999999983</v>
      </c>
      <c r="AI30" s="228">
        <f>C29*AI29</f>
        <v>322.46949599999994</v>
      </c>
      <c r="AJ30" s="228">
        <f>C29*AJ29</f>
        <v>0</v>
      </c>
      <c r="AK30" s="228">
        <f>C29*AK29</f>
        <v>310.84531199999992</v>
      </c>
      <c r="AL30" s="228">
        <f>D30+E30+G30+H30+I30+O30+P30+Q30+AA30</f>
        <v>32341.686000000002</v>
      </c>
      <c r="AM30" s="228">
        <f>F30+N30+R30+S30+T30+U30+V30+W30+X30+Y30</f>
        <v>1870.3409999999999</v>
      </c>
      <c r="AN30" s="228">
        <f>AH30+AI30+AJ30+AK30</f>
        <v>1597.6796079999997</v>
      </c>
    </row>
    <row r="31" spans="1:40">
      <c r="A31" s="101">
        <f>A29+1</f>
        <v>13</v>
      </c>
      <c r="B31" s="104" t="s">
        <v>18</v>
      </c>
      <c r="C31" s="66">
        <f>'Тех.хар-ка'!P22</f>
        <v>3436.9</v>
      </c>
      <c r="D31" s="84">
        <v>5.04</v>
      </c>
      <c r="E31" s="84">
        <v>5.88</v>
      </c>
      <c r="F31" s="84">
        <v>1.33</v>
      </c>
      <c r="G31" s="84">
        <v>3.06</v>
      </c>
      <c r="H31" s="84">
        <v>3.29</v>
      </c>
      <c r="I31" s="84">
        <v>3.06</v>
      </c>
      <c r="J31" s="84"/>
      <c r="K31" s="84"/>
      <c r="L31" s="84"/>
      <c r="M31" s="84"/>
      <c r="N31" s="84">
        <v>0.11</v>
      </c>
      <c r="O31" s="84">
        <v>3.22</v>
      </c>
      <c r="P31" s="84">
        <v>0.37</v>
      </c>
      <c r="Q31" s="84">
        <v>0.69</v>
      </c>
      <c r="R31" s="84">
        <v>0.5</v>
      </c>
      <c r="S31" s="84"/>
      <c r="T31" s="84">
        <v>0.36</v>
      </c>
      <c r="U31" s="84">
        <v>0.34</v>
      </c>
      <c r="V31" s="84"/>
      <c r="W31" s="84">
        <v>0.14000000000000001</v>
      </c>
      <c r="X31" s="84">
        <v>0.37</v>
      </c>
      <c r="Y31" s="84"/>
      <c r="Z31" s="85">
        <f>SUM(D31:Y31)</f>
        <v>27.76</v>
      </c>
      <c r="AA31" s="86">
        <f t="shared" si="1"/>
        <v>11.19</v>
      </c>
      <c r="AB31" s="88">
        <v>4.12</v>
      </c>
      <c r="AC31" s="88">
        <v>0.8</v>
      </c>
      <c r="AD31" s="88">
        <v>4.58</v>
      </c>
      <c r="AE31" s="88">
        <v>2.27</v>
      </c>
      <c r="AF31" s="88">
        <v>-0.57999999999999996</v>
      </c>
      <c r="AG31" s="232">
        <f>Z31+AA31</f>
        <v>38.950000000000003</v>
      </c>
      <c r="AH31" s="89">
        <v>1.0013541612124386</v>
      </c>
      <c r="AI31" s="89">
        <v>0.30824825901038488</v>
      </c>
      <c r="AJ31" s="89">
        <v>0</v>
      </c>
      <c r="AK31" s="89">
        <v>0.29713671350030546</v>
      </c>
      <c r="AL31" s="100"/>
      <c r="AM31" s="100"/>
      <c r="AN31" s="100"/>
    </row>
    <row r="32" spans="1:40" s="229" customFormat="1">
      <c r="A32" s="221"/>
      <c r="B32" s="222"/>
      <c r="C32" s="222"/>
      <c r="D32" s="223">
        <f>C31*D31</f>
        <v>17321.976000000002</v>
      </c>
      <c r="E32" s="223">
        <f>C31*E31</f>
        <v>20208.972000000002</v>
      </c>
      <c r="F32" s="223">
        <f>C31*F31</f>
        <v>4571.0770000000002</v>
      </c>
      <c r="G32" s="223">
        <f>C31*G31</f>
        <v>10516.914000000001</v>
      </c>
      <c r="H32" s="223">
        <f>C31*H31</f>
        <v>11307.401</v>
      </c>
      <c r="I32" s="223">
        <f>C31*I31</f>
        <v>10516.914000000001</v>
      </c>
      <c r="J32" s="223"/>
      <c r="K32" s="223"/>
      <c r="L32" s="223"/>
      <c r="M32" s="223"/>
      <c r="N32" s="223">
        <f>C31*N31</f>
        <v>378.05900000000003</v>
      </c>
      <c r="O32" s="223">
        <f>C31*O31</f>
        <v>11066.818000000001</v>
      </c>
      <c r="P32" s="223">
        <f>C31*P31</f>
        <v>1271.653</v>
      </c>
      <c r="Q32" s="223">
        <f>C31*Q31</f>
        <v>2371.4609999999998</v>
      </c>
      <c r="R32" s="223">
        <f>C31*R31</f>
        <v>1718.45</v>
      </c>
      <c r="S32" s="223">
        <f>C31*S31</f>
        <v>0</v>
      </c>
      <c r="T32" s="223">
        <f>C31*T31</f>
        <v>1237.2839999999999</v>
      </c>
      <c r="U32" s="223">
        <f>C31*U31</f>
        <v>1168.546</v>
      </c>
      <c r="V32" s="223">
        <f>C31*V31</f>
        <v>0</v>
      </c>
      <c r="W32" s="223">
        <f>C31*W31</f>
        <v>481.16600000000005</v>
      </c>
      <c r="X32" s="223">
        <f>C31*X31</f>
        <v>1271.653</v>
      </c>
      <c r="Y32" s="223">
        <f>C31*Y31</f>
        <v>0</v>
      </c>
      <c r="Z32" s="224">
        <f>C31*Z31</f>
        <v>95408.344000000012</v>
      </c>
      <c r="AA32" s="225">
        <f>C31*AA31</f>
        <v>38458.911</v>
      </c>
      <c r="AB32" s="226"/>
      <c r="AC32" s="227"/>
      <c r="AD32" s="227"/>
      <c r="AE32" s="227"/>
      <c r="AF32" s="227"/>
      <c r="AG32" s="233">
        <f>C31*AG31</f>
        <v>133867.255</v>
      </c>
      <c r="AH32" s="228">
        <f>C31*AH31</f>
        <v>3441.5541166710304</v>
      </c>
      <c r="AI32" s="228">
        <f>C31*AI31</f>
        <v>1059.4184413927919</v>
      </c>
      <c r="AJ32" s="228">
        <f>C31*AJ31</f>
        <v>0</v>
      </c>
      <c r="AK32" s="228">
        <f>C31*AK31</f>
        <v>1021.2291706291999</v>
      </c>
      <c r="AL32" s="228">
        <f>D32+E32+G32+H32+I32+O32+P32+Q32+AA32</f>
        <v>123041.02000000002</v>
      </c>
      <c r="AM32" s="228">
        <f>F32+N32+R32+S32+T32+U32+V32+W32+X32+Y32</f>
        <v>10826.234999999999</v>
      </c>
      <c r="AN32" s="228">
        <f>AH32+AI32+AJ32+AK32</f>
        <v>5522.2017286930222</v>
      </c>
    </row>
    <row r="33" spans="1:40">
      <c r="A33" s="101">
        <f>A31+1</f>
        <v>14</v>
      </c>
      <c r="B33" s="104" t="s">
        <v>19</v>
      </c>
      <c r="C33" s="66">
        <f>'Тех.хар-ка'!P23</f>
        <v>3333</v>
      </c>
      <c r="D33" s="84">
        <v>5.04</v>
      </c>
      <c r="E33" s="84">
        <v>5.24</v>
      </c>
      <c r="F33" s="84">
        <v>1.49</v>
      </c>
      <c r="G33" s="84">
        <v>2.54</v>
      </c>
      <c r="H33" s="84">
        <v>3.49</v>
      </c>
      <c r="I33" s="84">
        <v>2.75</v>
      </c>
      <c r="J33" s="84"/>
      <c r="K33" s="84"/>
      <c r="L33" s="84"/>
      <c r="M33" s="84"/>
      <c r="N33" s="84">
        <v>0.1</v>
      </c>
      <c r="O33" s="84">
        <v>5.03</v>
      </c>
      <c r="P33" s="84">
        <v>0.37</v>
      </c>
      <c r="Q33" s="84">
        <v>0.89</v>
      </c>
      <c r="R33" s="84">
        <v>0.52</v>
      </c>
      <c r="S33" s="84"/>
      <c r="T33" s="84">
        <v>0.37</v>
      </c>
      <c r="U33" s="84">
        <v>0.35</v>
      </c>
      <c r="V33" s="84"/>
      <c r="W33" s="84">
        <v>0.15</v>
      </c>
      <c r="X33" s="84">
        <v>0.38</v>
      </c>
      <c r="Y33" s="84"/>
      <c r="Z33" s="85">
        <f>SUM(D33:Y33)</f>
        <v>28.710000000000008</v>
      </c>
      <c r="AA33" s="86">
        <f t="shared" si="1"/>
        <v>10.234999999999999</v>
      </c>
      <c r="AB33" s="88">
        <v>3.415</v>
      </c>
      <c r="AC33" s="88">
        <v>0.83</v>
      </c>
      <c r="AD33" s="88">
        <v>4.12</v>
      </c>
      <c r="AE33" s="88">
        <v>2.66</v>
      </c>
      <c r="AF33" s="88">
        <v>-0.79</v>
      </c>
      <c r="AG33" s="232">
        <f>Z33+AA33</f>
        <v>38.945000000000007</v>
      </c>
      <c r="AH33" s="89">
        <v>0.95558482342756501</v>
      </c>
      <c r="AI33" s="89">
        <v>0.29467045105824052</v>
      </c>
      <c r="AJ33" s="89">
        <v>0</v>
      </c>
      <c r="AK33" s="89">
        <v>0.28404835010000296</v>
      </c>
      <c r="AL33" s="100"/>
      <c r="AM33" s="100"/>
      <c r="AN33" s="100"/>
    </row>
    <row r="34" spans="1:40" s="229" customFormat="1">
      <c r="A34" s="221"/>
      <c r="B34" s="222"/>
      <c r="C34" s="222"/>
      <c r="D34" s="223">
        <f>C33*D33</f>
        <v>16798.32</v>
      </c>
      <c r="E34" s="223">
        <f>C33*E33</f>
        <v>17464.920000000002</v>
      </c>
      <c r="F34" s="223">
        <f>C33*F33</f>
        <v>4966.17</v>
      </c>
      <c r="G34" s="223">
        <f>C33*G33</f>
        <v>8465.82</v>
      </c>
      <c r="H34" s="223">
        <f>C33*H33</f>
        <v>11632.17</v>
      </c>
      <c r="I34" s="223">
        <f>C33*I33</f>
        <v>9165.75</v>
      </c>
      <c r="J34" s="223"/>
      <c r="K34" s="223"/>
      <c r="L34" s="223"/>
      <c r="M34" s="223"/>
      <c r="N34" s="223">
        <f>C33*N33</f>
        <v>333.3</v>
      </c>
      <c r="O34" s="223">
        <f>C33*O33</f>
        <v>16764.990000000002</v>
      </c>
      <c r="P34" s="223">
        <f>C33*P33</f>
        <v>1233.21</v>
      </c>
      <c r="Q34" s="223">
        <f>C33*Q33</f>
        <v>2966.37</v>
      </c>
      <c r="R34" s="223">
        <f>C33*R33</f>
        <v>1733.16</v>
      </c>
      <c r="S34" s="223">
        <f>C33*S33</f>
        <v>0</v>
      </c>
      <c r="T34" s="223">
        <f>C33*T33</f>
        <v>1233.21</v>
      </c>
      <c r="U34" s="223">
        <f>C33*U33</f>
        <v>1166.55</v>
      </c>
      <c r="V34" s="223">
        <f>C33*V33</f>
        <v>0</v>
      </c>
      <c r="W34" s="223">
        <f>C33*W33</f>
        <v>499.95</v>
      </c>
      <c r="X34" s="223">
        <f>C33*X33</f>
        <v>1266.54</v>
      </c>
      <c r="Y34" s="223">
        <f>C33*Y33</f>
        <v>0</v>
      </c>
      <c r="Z34" s="224">
        <f>C33*Z33</f>
        <v>95690.430000000022</v>
      </c>
      <c r="AA34" s="225">
        <f>C33*AA33</f>
        <v>34113.254999999997</v>
      </c>
      <c r="AB34" s="226"/>
      <c r="AC34" s="227"/>
      <c r="AD34" s="227"/>
      <c r="AE34" s="227"/>
      <c r="AF34" s="227"/>
      <c r="AG34" s="233">
        <f>C33*AG33</f>
        <v>129803.68500000003</v>
      </c>
      <c r="AH34" s="228">
        <f>C33*AH33</f>
        <v>3184.9642164840743</v>
      </c>
      <c r="AI34" s="228">
        <f>C33*AI33</f>
        <v>982.13661337711562</v>
      </c>
      <c r="AJ34" s="228">
        <f>C33*AJ33</f>
        <v>0</v>
      </c>
      <c r="AK34" s="228">
        <f>C33*AK33</f>
        <v>946.7331508833098</v>
      </c>
      <c r="AL34" s="228">
        <f>D34+E34+G34+H34+I34+O34+P34+Q34+AA34</f>
        <v>118604.80499999999</v>
      </c>
      <c r="AM34" s="228">
        <f>F34+N34+R34+S34+T34+U34+V34+W34+X34+Y34</f>
        <v>11198.880000000001</v>
      </c>
      <c r="AN34" s="228">
        <f>AH34+AI34+AJ34+AK34</f>
        <v>5113.8339807444991</v>
      </c>
    </row>
    <row r="35" spans="1:40">
      <c r="A35" s="101">
        <f>A33+1</f>
        <v>15</v>
      </c>
      <c r="B35" s="104" t="s">
        <v>20</v>
      </c>
      <c r="C35" s="66">
        <f>'Тех.хар-ка'!P24</f>
        <v>3382.3</v>
      </c>
      <c r="D35" s="84">
        <v>5.04</v>
      </c>
      <c r="E35" s="84">
        <v>5.1100000000000003</v>
      </c>
      <c r="F35" s="84">
        <v>1.38</v>
      </c>
      <c r="G35" s="84">
        <v>3.12</v>
      </c>
      <c r="H35" s="84">
        <v>3.27</v>
      </c>
      <c r="I35" s="84">
        <v>2.5299999999999998</v>
      </c>
      <c r="J35" s="84"/>
      <c r="K35" s="84"/>
      <c r="L35" s="84"/>
      <c r="M35" s="84"/>
      <c r="N35" s="84">
        <v>0.11</v>
      </c>
      <c r="O35" s="84">
        <v>7.07</v>
      </c>
      <c r="P35" s="84">
        <v>0.37</v>
      </c>
      <c r="Q35" s="84">
        <v>0.53</v>
      </c>
      <c r="R35" s="84">
        <v>0.51</v>
      </c>
      <c r="S35" s="84"/>
      <c r="T35" s="84">
        <v>0.36</v>
      </c>
      <c r="U35" s="84">
        <v>0.35</v>
      </c>
      <c r="V35" s="84"/>
      <c r="W35" s="84">
        <v>0.15</v>
      </c>
      <c r="X35" s="84">
        <v>0.37</v>
      </c>
      <c r="Y35" s="84"/>
      <c r="Z35" s="85">
        <f>SUM(D35:Y35)</f>
        <v>30.270000000000007</v>
      </c>
      <c r="AA35" s="86">
        <f t="shared" si="1"/>
        <v>8.68</v>
      </c>
      <c r="AB35" s="88">
        <v>2.71</v>
      </c>
      <c r="AC35" s="88">
        <v>0.72</v>
      </c>
      <c r="AD35" s="88">
        <v>3.8</v>
      </c>
      <c r="AE35" s="88">
        <v>2.11</v>
      </c>
      <c r="AF35" s="88">
        <v>-0.66</v>
      </c>
      <c r="AG35" s="232">
        <f>Z35+AA35</f>
        <v>38.950000000000003</v>
      </c>
      <c r="AH35" s="89">
        <v>0.98485323951920278</v>
      </c>
      <c r="AI35" s="89">
        <v>0.30195254881266492</v>
      </c>
      <c r="AJ35" s="89">
        <v>0</v>
      </c>
      <c r="AK35" s="89">
        <v>0.29106794722955148</v>
      </c>
      <c r="AL35" s="100"/>
      <c r="AM35" s="100"/>
      <c r="AN35" s="100"/>
    </row>
    <row r="36" spans="1:40" s="229" customFormat="1">
      <c r="A36" s="221"/>
      <c r="B36" s="222"/>
      <c r="C36" s="222"/>
      <c r="D36" s="223">
        <f>C35*D35</f>
        <v>17046.792000000001</v>
      </c>
      <c r="E36" s="223">
        <f>C35*E35</f>
        <v>17283.553000000004</v>
      </c>
      <c r="F36" s="223">
        <f>C35*F35</f>
        <v>4667.5739999999996</v>
      </c>
      <c r="G36" s="223">
        <f>C35*G35</f>
        <v>10552.776000000002</v>
      </c>
      <c r="H36" s="223">
        <f>C35*H35</f>
        <v>11060.121000000001</v>
      </c>
      <c r="I36" s="223">
        <f>C35*I35</f>
        <v>8557.2189999999991</v>
      </c>
      <c r="J36" s="223"/>
      <c r="K36" s="223"/>
      <c r="L36" s="223"/>
      <c r="M36" s="223"/>
      <c r="N36" s="223">
        <f>C35*N35</f>
        <v>372.053</v>
      </c>
      <c r="O36" s="223">
        <f>C35*O35</f>
        <v>23912.861000000001</v>
      </c>
      <c r="P36" s="223">
        <f>C35*P35</f>
        <v>1251.451</v>
      </c>
      <c r="Q36" s="223">
        <f>C35*Q35</f>
        <v>1792.6190000000001</v>
      </c>
      <c r="R36" s="223">
        <f>C35*R35</f>
        <v>1724.9730000000002</v>
      </c>
      <c r="S36" s="223">
        <f>C35*S35</f>
        <v>0</v>
      </c>
      <c r="T36" s="223">
        <f>C35*T35</f>
        <v>1217.6279999999999</v>
      </c>
      <c r="U36" s="223">
        <f>C35*U35</f>
        <v>1183.8050000000001</v>
      </c>
      <c r="V36" s="223">
        <f>C35*V35</f>
        <v>0</v>
      </c>
      <c r="W36" s="223">
        <f>C35*W35</f>
        <v>507.34500000000003</v>
      </c>
      <c r="X36" s="223">
        <f>C35*X35</f>
        <v>1251.451</v>
      </c>
      <c r="Y36" s="223">
        <f>C35*Y35</f>
        <v>0</v>
      </c>
      <c r="Z36" s="224">
        <f>C35*Z35</f>
        <v>102382.22100000003</v>
      </c>
      <c r="AA36" s="225">
        <f>C35*AA35</f>
        <v>29358.364000000001</v>
      </c>
      <c r="AB36" s="226"/>
      <c r="AC36" s="227"/>
      <c r="AD36" s="227"/>
      <c r="AE36" s="227"/>
      <c r="AF36" s="227"/>
      <c r="AG36" s="233">
        <f>C35*AG35</f>
        <v>131740.58500000002</v>
      </c>
      <c r="AH36" s="228">
        <f>C35*AH35</f>
        <v>3331.0691120257998</v>
      </c>
      <c r="AI36" s="228">
        <f>C35*AI35</f>
        <v>1021.2941058490766</v>
      </c>
      <c r="AJ36" s="228">
        <f>C35*AJ35</f>
        <v>0</v>
      </c>
      <c r="AK36" s="228">
        <f>C35*AK35</f>
        <v>984.47911791451202</v>
      </c>
      <c r="AL36" s="228">
        <f>D36+E36+G36+H36+I36+O36+P36+Q36+AA36</f>
        <v>120815.75600000001</v>
      </c>
      <c r="AM36" s="228">
        <f>F36+N36+R36+S36+T36+U36+V36+W36+X36+Y36</f>
        <v>10924.828999999998</v>
      </c>
      <c r="AN36" s="228">
        <f>AH36+AI36+AJ36+AK36</f>
        <v>5336.8423357893889</v>
      </c>
    </row>
    <row r="37" spans="1:40">
      <c r="A37" s="101">
        <f>A35+1</f>
        <v>16</v>
      </c>
      <c r="B37" s="104" t="s">
        <v>21</v>
      </c>
      <c r="C37" s="66">
        <f>'Тех.хар-ка'!P25</f>
        <v>3277.1</v>
      </c>
      <c r="D37" s="84">
        <v>5.04</v>
      </c>
      <c r="E37" s="84">
        <v>5.73</v>
      </c>
      <c r="F37" s="84">
        <v>1.46</v>
      </c>
      <c r="G37" s="84">
        <v>2.5</v>
      </c>
      <c r="H37" s="84">
        <v>3.47</v>
      </c>
      <c r="I37" s="84">
        <v>2.77</v>
      </c>
      <c r="J37" s="84"/>
      <c r="K37" s="84"/>
      <c r="L37" s="84"/>
      <c r="M37" s="84"/>
      <c r="N37" s="84">
        <v>0.11</v>
      </c>
      <c r="O37" s="84">
        <v>4</v>
      </c>
      <c r="P37" s="84">
        <v>0.37</v>
      </c>
      <c r="Q37" s="84">
        <v>0.9</v>
      </c>
      <c r="R37" s="84">
        <v>0.52</v>
      </c>
      <c r="S37" s="84"/>
      <c r="T37" s="84">
        <v>0.37</v>
      </c>
      <c r="U37" s="84">
        <v>0.36</v>
      </c>
      <c r="V37" s="84"/>
      <c r="W37" s="84">
        <v>0.15</v>
      </c>
      <c r="X37" s="84">
        <v>0.38</v>
      </c>
      <c r="Y37" s="84"/>
      <c r="Z37" s="85">
        <f>SUM(D37:Y37)</f>
        <v>28.129999999999995</v>
      </c>
      <c r="AA37" s="86">
        <f t="shared" si="1"/>
        <v>10.799999999999999</v>
      </c>
      <c r="AB37" s="88">
        <v>3.84</v>
      </c>
      <c r="AC37" s="88">
        <v>0.9</v>
      </c>
      <c r="AD37" s="88">
        <v>4.16</v>
      </c>
      <c r="AE37" s="88">
        <v>2.69</v>
      </c>
      <c r="AF37" s="88">
        <v>-0.79</v>
      </c>
      <c r="AG37" s="232">
        <f>Z37+AA37</f>
        <v>38.929999999999993</v>
      </c>
      <c r="AH37" s="89">
        <v>1.0200628016372413</v>
      </c>
      <c r="AI37" s="89">
        <v>0.32263349990836343</v>
      </c>
      <c r="AJ37" s="89">
        <v>0</v>
      </c>
      <c r="AK37" s="89">
        <v>0.31100340399535714</v>
      </c>
      <c r="AL37" s="100"/>
      <c r="AM37" s="100"/>
      <c r="AN37" s="100"/>
    </row>
    <row r="38" spans="1:40" s="229" customFormat="1">
      <c r="A38" s="221"/>
      <c r="B38" s="222"/>
      <c r="C38" s="222"/>
      <c r="D38" s="223">
        <f>C37*D37</f>
        <v>16516.583999999999</v>
      </c>
      <c r="E38" s="223">
        <f>C37*E37</f>
        <v>18777.782999999999</v>
      </c>
      <c r="F38" s="223">
        <f>C37*F37</f>
        <v>4784.5659999999998</v>
      </c>
      <c r="G38" s="223">
        <f>C37*G37</f>
        <v>8192.75</v>
      </c>
      <c r="H38" s="223">
        <f>C37*H37</f>
        <v>11371.537</v>
      </c>
      <c r="I38" s="223">
        <f>C37*I37</f>
        <v>9077.5669999999991</v>
      </c>
      <c r="J38" s="223"/>
      <c r="K38" s="223"/>
      <c r="L38" s="223"/>
      <c r="M38" s="223"/>
      <c r="N38" s="223">
        <f>C37*N37</f>
        <v>360.48099999999999</v>
      </c>
      <c r="O38" s="223">
        <f>C37*O37</f>
        <v>13108.4</v>
      </c>
      <c r="P38" s="223">
        <f>C37*P37</f>
        <v>1212.527</v>
      </c>
      <c r="Q38" s="223">
        <f>C37*Q37</f>
        <v>2949.39</v>
      </c>
      <c r="R38" s="223">
        <f>C37*R37</f>
        <v>1704.0920000000001</v>
      </c>
      <c r="S38" s="223">
        <f>C37*S37</f>
        <v>0</v>
      </c>
      <c r="T38" s="223">
        <f>C37*T37</f>
        <v>1212.527</v>
      </c>
      <c r="U38" s="223">
        <f>C37*U37</f>
        <v>1179.7559999999999</v>
      </c>
      <c r="V38" s="223">
        <f>C37*V37</f>
        <v>0</v>
      </c>
      <c r="W38" s="223">
        <f>C37*W37</f>
        <v>491.56499999999994</v>
      </c>
      <c r="X38" s="223">
        <f>C37*X37</f>
        <v>1245.298</v>
      </c>
      <c r="Y38" s="223">
        <f>C37*Y37</f>
        <v>0</v>
      </c>
      <c r="Z38" s="224">
        <f>C37*Z37</f>
        <v>92184.822999999989</v>
      </c>
      <c r="AA38" s="225">
        <f>C37*AA37</f>
        <v>35392.679999999993</v>
      </c>
      <c r="AB38" s="226"/>
      <c r="AC38" s="227"/>
      <c r="AD38" s="227"/>
      <c r="AE38" s="227"/>
      <c r="AF38" s="227"/>
      <c r="AG38" s="233">
        <f>C37*AG37</f>
        <v>127577.50299999997</v>
      </c>
      <c r="AH38" s="228">
        <f>C37*AH37</f>
        <v>3342.8478072454031</v>
      </c>
      <c r="AI38" s="228">
        <f>C37*AI37</f>
        <v>1057.3022425496977</v>
      </c>
      <c r="AJ38" s="228">
        <f>C37*AJ37</f>
        <v>0</v>
      </c>
      <c r="AK38" s="228">
        <f>C37*AK37</f>
        <v>1019.1892552331849</v>
      </c>
      <c r="AL38" s="228">
        <f>D38+E38+G38+H38+I38+O38+P38+Q38+AA38</f>
        <v>116599.21799999998</v>
      </c>
      <c r="AM38" s="228">
        <f>F38+N38+R38+S38+T38+U38+V38+W38+X38+Y38</f>
        <v>10978.285</v>
      </c>
      <c r="AN38" s="228">
        <f>AH38+AI38+AJ38+AK38</f>
        <v>5419.3393050282857</v>
      </c>
    </row>
    <row r="39" spans="1:40">
      <c r="A39" s="101">
        <f>A37+1</f>
        <v>17</v>
      </c>
      <c r="B39" s="104" t="s">
        <v>22</v>
      </c>
      <c r="C39" s="66">
        <f>'Тех.хар-ка'!P26</f>
        <v>4653</v>
      </c>
      <c r="D39" s="84">
        <v>5.04</v>
      </c>
      <c r="E39" s="84">
        <v>5.4</v>
      </c>
      <c r="F39" s="84">
        <v>1.48</v>
      </c>
      <c r="G39" s="84">
        <v>2.23</v>
      </c>
      <c r="H39" s="84">
        <v>3.06</v>
      </c>
      <c r="I39" s="84">
        <v>2.54</v>
      </c>
      <c r="J39" s="84"/>
      <c r="K39" s="84"/>
      <c r="L39" s="84"/>
      <c r="M39" s="84"/>
      <c r="N39" s="84">
        <v>0.1</v>
      </c>
      <c r="O39" s="84">
        <v>6.8</v>
      </c>
      <c r="P39" s="84">
        <v>0.37</v>
      </c>
      <c r="Q39" s="84">
        <v>0.54</v>
      </c>
      <c r="R39" s="84">
        <v>0.37</v>
      </c>
      <c r="S39" s="84"/>
      <c r="T39" s="84">
        <v>0.26</v>
      </c>
      <c r="U39" s="84">
        <v>0.25</v>
      </c>
      <c r="V39" s="84"/>
      <c r="W39" s="84">
        <v>0.11</v>
      </c>
      <c r="X39" s="84">
        <v>0.27</v>
      </c>
      <c r="Y39" s="84"/>
      <c r="Z39" s="85">
        <f>SUM(D39:Y39)</f>
        <v>28.820000000000004</v>
      </c>
      <c r="AA39" s="86">
        <f t="shared" si="1"/>
        <v>10.135</v>
      </c>
      <c r="AB39" s="87">
        <v>3.3250000000000002</v>
      </c>
      <c r="AC39" s="88">
        <v>0.84</v>
      </c>
      <c r="AD39" s="88">
        <v>3.81</v>
      </c>
      <c r="AE39" s="88">
        <v>2.4300000000000002</v>
      </c>
      <c r="AF39" s="88">
        <v>-0.27</v>
      </c>
      <c r="AG39" s="232">
        <f>Z39+AA39</f>
        <v>38.955000000000005</v>
      </c>
      <c r="AH39" s="89">
        <v>1.0122156677272336</v>
      </c>
      <c r="AI39" s="89">
        <v>0.34613089861553015</v>
      </c>
      <c r="AJ39" s="89">
        <v>0</v>
      </c>
      <c r="AK39" s="89">
        <v>0.33365378278441826</v>
      </c>
      <c r="AL39" s="100"/>
      <c r="AM39" s="100"/>
      <c r="AN39" s="100"/>
    </row>
    <row r="40" spans="1:40" s="229" customFormat="1">
      <c r="A40" s="221"/>
      <c r="B40" s="222"/>
      <c r="C40" s="222"/>
      <c r="D40" s="223">
        <f>C39*D39</f>
        <v>23451.119999999999</v>
      </c>
      <c r="E40" s="223">
        <f>C39*E39</f>
        <v>25126.2</v>
      </c>
      <c r="F40" s="223">
        <f>C39*F39</f>
        <v>6886.44</v>
      </c>
      <c r="G40" s="223">
        <f>C39*G39</f>
        <v>10376.19</v>
      </c>
      <c r="H40" s="223">
        <f>C39*H39</f>
        <v>14238.18</v>
      </c>
      <c r="I40" s="223">
        <f>C39*I39</f>
        <v>11818.62</v>
      </c>
      <c r="J40" s="223"/>
      <c r="K40" s="223"/>
      <c r="L40" s="223"/>
      <c r="M40" s="223"/>
      <c r="N40" s="223">
        <f>C39*N39</f>
        <v>465.3</v>
      </c>
      <c r="O40" s="223">
        <f>C39*O39</f>
        <v>31640.399999999998</v>
      </c>
      <c r="P40" s="223">
        <f>C39*P39</f>
        <v>1721.61</v>
      </c>
      <c r="Q40" s="223">
        <f>C39*Q39</f>
        <v>2512.6200000000003</v>
      </c>
      <c r="R40" s="223">
        <f>C39*R39</f>
        <v>1721.61</v>
      </c>
      <c r="S40" s="223">
        <f>C39*S39</f>
        <v>0</v>
      </c>
      <c r="T40" s="223">
        <f>C39*T39</f>
        <v>1209.78</v>
      </c>
      <c r="U40" s="223">
        <f>C39*U39</f>
        <v>1163.25</v>
      </c>
      <c r="V40" s="223">
        <f>C39*V39</f>
        <v>0</v>
      </c>
      <c r="W40" s="223">
        <f>C39*W39</f>
        <v>511.83</v>
      </c>
      <c r="X40" s="223">
        <f>C39*X39</f>
        <v>1256.3100000000002</v>
      </c>
      <c r="Y40" s="223">
        <f>C39*Y39</f>
        <v>0</v>
      </c>
      <c r="Z40" s="224">
        <f>C39*Z39</f>
        <v>134099.46000000002</v>
      </c>
      <c r="AA40" s="225">
        <f>C39*AA39</f>
        <v>47158.154999999999</v>
      </c>
      <c r="AB40" s="226"/>
      <c r="AC40" s="227"/>
      <c r="AD40" s="227"/>
      <c r="AE40" s="227"/>
      <c r="AF40" s="227"/>
      <c r="AG40" s="233">
        <f>C39*AG39</f>
        <v>181257.61500000002</v>
      </c>
      <c r="AH40" s="228">
        <f>C39*AH39</f>
        <v>4709.8395019348181</v>
      </c>
      <c r="AI40" s="228">
        <f>C39*AI39</f>
        <v>1610.5470712580618</v>
      </c>
      <c r="AJ40" s="228">
        <f>C39*AJ39</f>
        <v>0</v>
      </c>
      <c r="AK40" s="228">
        <f>C39*AK39</f>
        <v>1552.4910512958982</v>
      </c>
      <c r="AL40" s="228">
        <f>D40+E40+G40+H40+I40+O40+P40+Q40+AA40</f>
        <v>168043.09499999997</v>
      </c>
      <c r="AM40" s="228">
        <f>F40+N40+R40+S40+T40+U40+V40+W40+X40+Y40</f>
        <v>13214.52</v>
      </c>
      <c r="AN40" s="228">
        <f>AH40+AI40+AJ40+AK40</f>
        <v>7872.8776244887777</v>
      </c>
    </row>
    <row r="41" spans="1:40">
      <c r="A41" s="101">
        <f>A39+1</f>
        <v>18</v>
      </c>
      <c r="B41" s="104" t="s">
        <v>23</v>
      </c>
      <c r="C41" s="66">
        <f>'Тех.хар-ка'!P27</f>
        <v>3257.9</v>
      </c>
      <c r="D41" s="84">
        <v>5.04</v>
      </c>
      <c r="E41" s="84">
        <v>5.43</v>
      </c>
      <c r="F41" s="84">
        <v>1.4</v>
      </c>
      <c r="G41" s="84">
        <v>2.33</v>
      </c>
      <c r="H41" s="84">
        <v>3.22</v>
      </c>
      <c r="I41" s="84">
        <v>2.59</v>
      </c>
      <c r="J41" s="84"/>
      <c r="K41" s="84"/>
      <c r="L41" s="84"/>
      <c r="M41" s="84"/>
      <c r="N41" s="84">
        <v>0.11</v>
      </c>
      <c r="O41" s="84">
        <v>6.04</v>
      </c>
      <c r="P41" s="84">
        <v>0.37</v>
      </c>
      <c r="Q41" s="84">
        <v>0.45</v>
      </c>
      <c r="R41" s="84">
        <v>0.53</v>
      </c>
      <c r="S41" s="84"/>
      <c r="T41" s="84">
        <v>0.38</v>
      </c>
      <c r="U41" s="84">
        <v>0.36</v>
      </c>
      <c r="V41" s="84"/>
      <c r="W41" s="84">
        <v>0.15</v>
      </c>
      <c r="X41" s="84">
        <v>0.39</v>
      </c>
      <c r="Y41" s="84"/>
      <c r="Z41" s="85">
        <f>SUM(D41:Y41)</f>
        <v>28.789999999999996</v>
      </c>
      <c r="AA41" s="86">
        <f t="shared" si="1"/>
        <v>10.145</v>
      </c>
      <c r="AB41" s="87">
        <v>3.625</v>
      </c>
      <c r="AC41" s="88">
        <v>0.86</v>
      </c>
      <c r="AD41" s="88">
        <v>3.88</v>
      </c>
      <c r="AE41" s="88">
        <v>2.5299999999999998</v>
      </c>
      <c r="AF41" s="88">
        <v>-0.75</v>
      </c>
      <c r="AG41" s="232">
        <f>Z41+AA41</f>
        <v>38.934999999999995</v>
      </c>
      <c r="AH41" s="89">
        <v>1.0441648142462387</v>
      </c>
      <c r="AI41" s="89">
        <v>0.33297952962849248</v>
      </c>
      <c r="AJ41" s="89">
        <v>0</v>
      </c>
      <c r="AK41" s="89">
        <v>0.32097648633712</v>
      </c>
      <c r="AL41" s="100"/>
      <c r="AM41" s="100"/>
      <c r="AN41" s="100"/>
    </row>
    <row r="42" spans="1:40" s="229" customFormat="1">
      <c r="A42" s="221"/>
      <c r="B42" s="222"/>
      <c r="C42" s="222"/>
      <c r="D42" s="223">
        <f>C41*D41</f>
        <v>16419.815999999999</v>
      </c>
      <c r="E42" s="223">
        <f>C41*E41</f>
        <v>17690.397000000001</v>
      </c>
      <c r="F42" s="223">
        <f>C41*F41</f>
        <v>4561.0599999999995</v>
      </c>
      <c r="G42" s="223">
        <f>C41*G41</f>
        <v>7590.9070000000002</v>
      </c>
      <c r="H42" s="223">
        <f>C41*H41</f>
        <v>10490.438</v>
      </c>
      <c r="I42" s="223">
        <f>C41*I41</f>
        <v>8437.9609999999993</v>
      </c>
      <c r="J42" s="223"/>
      <c r="K42" s="223"/>
      <c r="L42" s="223"/>
      <c r="M42" s="223"/>
      <c r="N42" s="223">
        <f>C41*N41</f>
        <v>358.36900000000003</v>
      </c>
      <c r="O42" s="223">
        <f>C41*O41</f>
        <v>19677.716</v>
      </c>
      <c r="P42" s="223">
        <f>C41*P41</f>
        <v>1205.423</v>
      </c>
      <c r="Q42" s="223">
        <f>C41*Q41</f>
        <v>1466.0550000000001</v>
      </c>
      <c r="R42" s="223">
        <f>C41*R41</f>
        <v>1726.6870000000001</v>
      </c>
      <c r="S42" s="223">
        <f>C41*S41</f>
        <v>0</v>
      </c>
      <c r="T42" s="223">
        <f>C41*T41</f>
        <v>1238.002</v>
      </c>
      <c r="U42" s="223">
        <f>C41*U41</f>
        <v>1172.8440000000001</v>
      </c>
      <c r="V42" s="223">
        <f>C41*V41</f>
        <v>0</v>
      </c>
      <c r="W42" s="223">
        <f>C41*W41</f>
        <v>488.685</v>
      </c>
      <c r="X42" s="223">
        <f>C41*X41</f>
        <v>1270.5810000000001</v>
      </c>
      <c r="Y42" s="223">
        <f>C41*Y41</f>
        <v>0</v>
      </c>
      <c r="Z42" s="224">
        <f>C41*Z41</f>
        <v>93794.940999999992</v>
      </c>
      <c r="AA42" s="225">
        <f>C41*AA41</f>
        <v>33051.395499999999</v>
      </c>
      <c r="AB42" s="226"/>
      <c r="AC42" s="227"/>
      <c r="AD42" s="227"/>
      <c r="AE42" s="227"/>
      <c r="AF42" s="227"/>
      <c r="AG42" s="233">
        <f>C41*AG41</f>
        <v>126846.33649999999</v>
      </c>
      <c r="AH42" s="228">
        <f>C41*AH41</f>
        <v>3401.7845483328215</v>
      </c>
      <c r="AI42" s="228">
        <f>C41*AI41</f>
        <v>1084.8140095766657</v>
      </c>
      <c r="AJ42" s="228">
        <f>C41*AJ41</f>
        <v>0</v>
      </c>
      <c r="AK42" s="228">
        <f>C41*AK41</f>
        <v>1045.7092948377033</v>
      </c>
      <c r="AL42" s="228">
        <f>D42+E42+G42+H42+I42+O42+P42+Q42+AA42</f>
        <v>116030.10849999999</v>
      </c>
      <c r="AM42" s="228">
        <f>F42+N42+R42+S42+T42+U42+V42+W42+X42+Y42</f>
        <v>10816.227999999999</v>
      </c>
      <c r="AN42" s="228">
        <f>AH42+AI42+AJ42+AK42</f>
        <v>5532.3078527471898</v>
      </c>
    </row>
    <row r="43" spans="1:40">
      <c r="A43" s="101">
        <f>A41+1</f>
        <v>19</v>
      </c>
      <c r="B43" s="104" t="s">
        <v>24</v>
      </c>
      <c r="C43" s="66">
        <f>'Тех.хар-ка'!P28</f>
        <v>4621.1000000000004</v>
      </c>
      <c r="D43" s="84">
        <v>5.04</v>
      </c>
      <c r="E43" s="84">
        <v>5.87</v>
      </c>
      <c r="F43" s="84">
        <v>1.38</v>
      </c>
      <c r="G43" s="84">
        <v>2.2799999999999998</v>
      </c>
      <c r="H43" s="84">
        <v>3.19</v>
      </c>
      <c r="I43" s="84">
        <v>2.96</v>
      </c>
      <c r="J43" s="84"/>
      <c r="K43" s="84"/>
      <c r="L43" s="84"/>
      <c r="M43" s="84"/>
      <c r="N43" s="84">
        <v>0.1</v>
      </c>
      <c r="O43" s="84">
        <v>4.0199999999999996</v>
      </c>
      <c r="P43" s="84">
        <v>0.37</v>
      </c>
      <c r="Q43" s="84">
        <v>0.49</v>
      </c>
      <c r="R43" s="84">
        <v>0.37</v>
      </c>
      <c r="S43" s="84"/>
      <c r="T43" s="84">
        <v>0.26</v>
      </c>
      <c r="U43" s="84">
        <v>0.26</v>
      </c>
      <c r="V43" s="84"/>
      <c r="W43" s="84">
        <v>0.11</v>
      </c>
      <c r="X43" s="84">
        <v>0.27</v>
      </c>
      <c r="Y43" s="84"/>
      <c r="Z43" s="85">
        <f>SUM(D43:Y43)</f>
        <v>26.970000000000002</v>
      </c>
      <c r="AA43" s="86">
        <f t="shared" si="1"/>
        <v>11.98</v>
      </c>
      <c r="AB43" s="88">
        <v>4.37</v>
      </c>
      <c r="AC43" s="88">
        <v>0.91</v>
      </c>
      <c r="AD43" s="88">
        <v>4.4400000000000004</v>
      </c>
      <c r="AE43" s="88">
        <v>2.4500000000000002</v>
      </c>
      <c r="AF43" s="88">
        <v>-0.19</v>
      </c>
      <c r="AG43" s="232">
        <f>Z43+AA43</f>
        <v>38.950000000000003</v>
      </c>
      <c r="AH43" s="89">
        <v>1.0197448760956607</v>
      </c>
      <c r="AI43" s="89">
        <v>0.34926427875771027</v>
      </c>
      <c r="AJ43" s="89">
        <v>0</v>
      </c>
      <c r="AK43" s="89">
        <v>0.33667421274753817</v>
      </c>
      <c r="AL43" s="100"/>
      <c r="AM43" s="100"/>
      <c r="AN43" s="100"/>
    </row>
    <row r="44" spans="1:40" s="229" customFormat="1">
      <c r="A44" s="221"/>
      <c r="B44" s="222"/>
      <c r="C44" s="222"/>
      <c r="D44" s="223">
        <f>C43*D43</f>
        <v>23290.344000000001</v>
      </c>
      <c r="E44" s="223">
        <f>C43*E43</f>
        <v>27125.857000000004</v>
      </c>
      <c r="F44" s="223">
        <f>C43*F43</f>
        <v>6377.1180000000004</v>
      </c>
      <c r="G44" s="223">
        <f>C43*G43</f>
        <v>10536.108</v>
      </c>
      <c r="H44" s="223">
        <f>C43*H43</f>
        <v>14741.309000000001</v>
      </c>
      <c r="I44" s="223">
        <f>C43*I43</f>
        <v>13678.456</v>
      </c>
      <c r="J44" s="223"/>
      <c r="K44" s="223"/>
      <c r="L44" s="223"/>
      <c r="M44" s="223"/>
      <c r="N44" s="223">
        <f>C43*N43</f>
        <v>462.11000000000007</v>
      </c>
      <c r="O44" s="223">
        <f>C43*O43</f>
        <v>18576.822</v>
      </c>
      <c r="P44" s="223">
        <f>C43*P43</f>
        <v>1709.807</v>
      </c>
      <c r="Q44" s="223">
        <f>C43*Q43</f>
        <v>2264.3389999999999</v>
      </c>
      <c r="R44" s="223">
        <f>C43*R43</f>
        <v>1709.807</v>
      </c>
      <c r="S44" s="223">
        <f>C43*S43</f>
        <v>0</v>
      </c>
      <c r="T44" s="223">
        <f>C43*T43</f>
        <v>1201.4860000000001</v>
      </c>
      <c r="U44" s="223">
        <f>C43*U43</f>
        <v>1201.4860000000001</v>
      </c>
      <c r="V44" s="223">
        <f>C43*V43</f>
        <v>0</v>
      </c>
      <c r="W44" s="223">
        <f>C43*W43</f>
        <v>508.32100000000003</v>
      </c>
      <c r="X44" s="223">
        <f>C43*X43</f>
        <v>1247.6970000000001</v>
      </c>
      <c r="Y44" s="223">
        <f>C43*Y43</f>
        <v>0</v>
      </c>
      <c r="Z44" s="224">
        <f>C43*Z43</f>
        <v>124631.06700000002</v>
      </c>
      <c r="AA44" s="225">
        <f>C43*AA43</f>
        <v>55360.778000000006</v>
      </c>
      <c r="AB44" s="226"/>
      <c r="AC44" s="227"/>
      <c r="AD44" s="227"/>
      <c r="AE44" s="227"/>
      <c r="AF44" s="227"/>
      <c r="AG44" s="233">
        <f>C43*AG43</f>
        <v>179991.84500000003</v>
      </c>
      <c r="AH44" s="228">
        <f>C43*AH43</f>
        <v>4712.3430469256582</v>
      </c>
      <c r="AI44" s="228">
        <f>C43*AI43</f>
        <v>1613.985158567255</v>
      </c>
      <c r="AJ44" s="228">
        <f>C43*AJ43</f>
        <v>0</v>
      </c>
      <c r="AK44" s="228">
        <f>C43*AK43</f>
        <v>1555.8052045276488</v>
      </c>
      <c r="AL44" s="228">
        <f>D44+E44+G44+H44+I44+O44+P44+Q44+AA44</f>
        <v>167283.82</v>
      </c>
      <c r="AM44" s="228">
        <f>F44+N44+R44+S44+T44+U44+V44+W44+X44+Y44</f>
        <v>12708.025000000001</v>
      </c>
      <c r="AN44" s="228">
        <f>AH44+AI44+AJ44+AK44</f>
        <v>7882.1334100205622</v>
      </c>
    </row>
    <row r="45" spans="1:40">
      <c r="A45" s="101">
        <f>A43+1</f>
        <v>20</v>
      </c>
      <c r="B45" s="104" t="s">
        <v>25</v>
      </c>
      <c r="C45" s="66">
        <f>'Тех.хар-ка'!P29</f>
        <v>3311.1</v>
      </c>
      <c r="D45" s="84">
        <v>5.04</v>
      </c>
      <c r="E45" s="84">
        <v>5.28</v>
      </c>
      <c r="F45" s="84">
        <v>1.43</v>
      </c>
      <c r="G45" s="84">
        <v>2.35</v>
      </c>
      <c r="H45" s="84">
        <v>3.25</v>
      </c>
      <c r="I45" s="84">
        <v>2.56</v>
      </c>
      <c r="J45" s="84"/>
      <c r="K45" s="84"/>
      <c r="L45" s="84"/>
      <c r="M45" s="84"/>
      <c r="N45" s="84">
        <v>0.11</v>
      </c>
      <c r="O45" s="84">
        <v>5.68</v>
      </c>
      <c r="P45" s="84">
        <v>0.37</v>
      </c>
      <c r="Q45" s="84">
        <v>1.1399999999999999</v>
      </c>
      <c r="R45" s="84">
        <v>0.52</v>
      </c>
      <c r="S45" s="84"/>
      <c r="T45" s="84">
        <v>0.37</v>
      </c>
      <c r="U45" s="84">
        <v>0.36</v>
      </c>
      <c r="V45" s="84"/>
      <c r="W45" s="84">
        <v>0.15</v>
      </c>
      <c r="X45" s="84">
        <v>0.38</v>
      </c>
      <c r="Y45" s="84"/>
      <c r="Z45" s="85">
        <f>SUM(D45:Y45)</f>
        <v>28.99</v>
      </c>
      <c r="AA45" s="86">
        <f t="shared" si="1"/>
        <v>9.9699999999999989</v>
      </c>
      <c r="AB45" s="88">
        <v>3.55</v>
      </c>
      <c r="AC45" s="88">
        <v>0.8</v>
      </c>
      <c r="AD45" s="88">
        <v>3.85</v>
      </c>
      <c r="AE45" s="88">
        <v>2.5099999999999998</v>
      </c>
      <c r="AF45" s="88">
        <v>-0.74</v>
      </c>
      <c r="AG45" s="232">
        <f>Z45+AA45</f>
        <v>38.959999999999994</v>
      </c>
      <c r="AH45" s="89">
        <v>1.0159301742623297</v>
      </c>
      <c r="AI45" s="89">
        <v>0.31779131285675449</v>
      </c>
      <c r="AJ45" s="89">
        <v>0</v>
      </c>
      <c r="AK45" s="89">
        <v>0.3063357651535743</v>
      </c>
      <c r="AL45" s="100"/>
      <c r="AM45" s="100"/>
      <c r="AN45" s="100"/>
    </row>
    <row r="46" spans="1:40" s="229" customFormat="1">
      <c r="A46" s="221"/>
      <c r="B46" s="222"/>
      <c r="C46" s="222"/>
      <c r="D46" s="223">
        <f>C45*D45</f>
        <v>16687.944</v>
      </c>
      <c r="E46" s="223">
        <f>C45*E45</f>
        <v>17482.608</v>
      </c>
      <c r="F46" s="223">
        <f>C45*F45</f>
        <v>4734.8729999999996</v>
      </c>
      <c r="G46" s="223">
        <f>C45*G45</f>
        <v>7781.085</v>
      </c>
      <c r="H46" s="223">
        <f>C45*H45</f>
        <v>10761.074999999999</v>
      </c>
      <c r="I46" s="223">
        <f>C45*I45</f>
        <v>8476.4159999999993</v>
      </c>
      <c r="J46" s="223"/>
      <c r="K46" s="223"/>
      <c r="L46" s="223"/>
      <c r="M46" s="223"/>
      <c r="N46" s="223">
        <f>C45*N45</f>
        <v>364.221</v>
      </c>
      <c r="O46" s="223">
        <f>C45*O45</f>
        <v>18807.047999999999</v>
      </c>
      <c r="P46" s="223">
        <f>C45*P45</f>
        <v>1225.107</v>
      </c>
      <c r="Q46" s="223">
        <f>C45*Q45</f>
        <v>3774.6539999999995</v>
      </c>
      <c r="R46" s="223">
        <f>C45*R45</f>
        <v>1721.7719999999999</v>
      </c>
      <c r="S46" s="223">
        <f>C45*S45</f>
        <v>0</v>
      </c>
      <c r="T46" s="223">
        <f>C45*T45</f>
        <v>1225.107</v>
      </c>
      <c r="U46" s="223">
        <f>C45*U45</f>
        <v>1191.9959999999999</v>
      </c>
      <c r="V46" s="223">
        <f>C45*V45</f>
        <v>0</v>
      </c>
      <c r="W46" s="223">
        <f>C45*W45</f>
        <v>496.66499999999996</v>
      </c>
      <c r="X46" s="223">
        <f>C45*X45</f>
        <v>1258.2180000000001</v>
      </c>
      <c r="Y46" s="223">
        <f>C45*Y45</f>
        <v>0</v>
      </c>
      <c r="Z46" s="224">
        <f>C45*Z45</f>
        <v>95988.78899999999</v>
      </c>
      <c r="AA46" s="225">
        <f>C45*AA45</f>
        <v>33011.666999999994</v>
      </c>
      <c r="AB46" s="226"/>
      <c r="AC46" s="227"/>
      <c r="AD46" s="227"/>
      <c r="AE46" s="227"/>
      <c r="AF46" s="227"/>
      <c r="AG46" s="233">
        <f>C45*AG45</f>
        <v>129000.45599999998</v>
      </c>
      <c r="AH46" s="228">
        <f>C45*AH45</f>
        <v>3363.8463999999999</v>
      </c>
      <c r="AI46" s="228">
        <f>C45*AI45</f>
        <v>1052.2388159999998</v>
      </c>
      <c r="AJ46" s="228">
        <f>C45*AJ45</f>
        <v>0</v>
      </c>
      <c r="AK46" s="228">
        <f>C45*AK45</f>
        <v>1014.3083519999999</v>
      </c>
      <c r="AL46" s="228">
        <f>D46+E46+G46+H46+I46+O46+P46+Q46+AA46</f>
        <v>118007.60399999999</v>
      </c>
      <c r="AM46" s="228">
        <f>F46+N46+R46+S46+T46+U46+V46+W46+X46+Y46</f>
        <v>10992.851999999999</v>
      </c>
      <c r="AN46" s="228">
        <f>AH46+AI46+AJ46+AK46</f>
        <v>5430.3935679999995</v>
      </c>
    </row>
    <row r="47" spans="1:40">
      <c r="A47" s="101">
        <f>A45+1</f>
        <v>21</v>
      </c>
      <c r="B47" s="104" t="s">
        <v>26</v>
      </c>
      <c r="C47" s="66">
        <f>'Тех.хар-ка'!P30</f>
        <v>3352</v>
      </c>
      <c r="D47" s="84">
        <v>5.04</v>
      </c>
      <c r="E47" s="84">
        <v>5.37</v>
      </c>
      <c r="F47" s="84">
        <v>1.34</v>
      </c>
      <c r="G47" s="84">
        <v>3.13</v>
      </c>
      <c r="H47" s="84">
        <v>3.3</v>
      </c>
      <c r="I47" s="84">
        <v>2.56</v>
      </c>
      <c r="J47" s="84"/>
      <c r="K47" s="84"/>
      <c r="L47" s="84"/>
      <c r="M47" s="84"/>
      <c r="N47" s="84">
        <v>0.11</v>
      </c>
      <c r="O47" s="84">
        <v>6.96</v>
      </c>
      <c r="P47" s="84">
        <v>0.37</v>
      </c>
      <c r="Q47" s="84">
        <v>0.69</v>
      </c>
      <c r="R47" s="84">
        <v>0.51</v>
      </c>
      <c r="S47" s="84"/>
      <c r="T47" s="84">
        <v>0.36</v>
      </c>
      <c r="U47" s="84">
        <v>0.35</v>
      </c>
      <c r="V47" s="84"/>
      <c r="W47" s="84">
        <v>0.15</v>
      </c>
      <c r="X47" s="84">
        <v>0.38</v>
      </c>
      <c r="Y47" s="84"/>
      <c r="Z47" s="85">
        <f>SUM(D47:Y47)</f>
        <v>30.62</v>
      </c>
      <c r="AA47" s="86">
        <f t="shared" si="1"/>
        <v>8.3149999999999995</v>
      </c>
      <c r="AB47" s="87">
        <v>2.605</v>
      </c>
      <c r="AC47" s="88">
        <v>0.38</v>
      </c>
      <c r="AD47" s="88">
        <v>3.84</v>
      </c>
      <c r="AE47" s="88">
        <v>2.13</v>
      </c>
      <c r="AF47" s="88">
        <v>-0.64</v>
      </c>
      <c r="AG47" s="232">
        <f>Z47+AA47</f>
        <v>38.935000000000002</v>
      </c>
      <c r="AH47" s="89">
        <v>1.0301787706164813</v>
      </c>
      <c r="AI47" s="89">
        <v>0.32107037370634378</v>
      </c>
      <c r="AJ47" s="89">
        <v>0</v>
      </c>
      <c r="AK47" s="89">
        <v>0.30949662441468578</v>
      </c>
      <c r="AL47" s="100"/>
      <c r="AM47" s="100"/>
      <c r="AN47" s="100"/>
    </row>
    <row r="48" spans="1:40" s="229" customFormat="1">
      <c r="A48" s="221"/>
      <c r="B48" s="222"/>
      <c r="C48" s="222"/>
      <c r="D48" s="223">
        <f>C47*D47</f>
        <v>16894.080000000002</v>
      </c>
      <c r="E48" s="223">
        <f>C47*E47</f>
        <v>18000.240000000002</v>
      </c>
      <c r="F48" s="223">
        <f>C47*F47</f>
        <v>4491.68</v>
      </c>
      <c r="G48" s="223">
        <f>C47*G47</f>
        <v>10491.76</v>
      </c>
      <c r="H48" s="223">
        <f>C47*H47</f>
        <v>11061.599999999999</v>
      </c>
      <c r="I48" s="223">
        <f>C47*I47</f>
        <v>8581.1200000000008</v>
      </c>
      <c r="J48" s="223"/>
      <c r="K48" s="223"/>
      <c r="L48" s="223"/>
      <c r="M48" s="223"/>
      <c r="N48" s="223">
        <f>C47*N47</f>
        <v>368.72</v>
      </c>
      <c r="O48" s="223">
        <f>C47*O47</f>
        <v>23329.919999999998</v>
      </c>
      <c r="P48" s="223">
        <f>C47*P47</f>
        <v>1240.24</v>
      </c>
      <c r="Q48" s="223">
        <f>C47*Q47</f>
        <v>2312.8799999999997</v>
      </c>
      <c r="R48" s="223">
        <f>C47*R47</f>
        <v>1709.52</v>
      </c>
      <c r="S48" s="223">
        <f>C47*S47</f>
        <v>0</v>
      </c>
      <c r="T48" s="223">
        <f>C47*T47</f>
        <v>1206.72</v>
      </c>
      <c r="U48" s="223">
        <f>C47*U47</f>
        <v>1173.1999999999998</v>
      </c>
      <c r="V48" s="223">
        <f>C47*V47</f>
        <v>0</v>
      </c>
      <c r="W48" s="223">
        <f>C47*W47</f>
        <v>502.79999999999995</v>
      </c>
      <c r="X48" s="223">
        <f>C47*X47</f>
        <v>1273.76</v>
      </c>
      <c r="Y48" s="223">
        <f>C47*Y47</f>
        <v>0</v>
      </c>
      <c r="Z48" s="224">
        <f>C47*Z47</f>
        <v>102638.24</v>
      </c>
      <c r="AA48" s="225">
        <f>C47*AA47</f>
        <v>27871.879999999997</v>
      </c>
      <c r="AB48" s="226"/>
      <c r="AC48" s="227"/>
      <c r="AD48" s="227"/>
      <c r="AE48" s="227"/>
      <c r="AF48" s="227"/>
      <c r="AG48" s="233">
        <f>C47*AG47</f>
        <v>130510.12000000001</v>
      </c>
      <c r="AH48" s="228">
        <f>C47*AH47</f>
        <v>3453.1592391064455</v>
      </c>
      <c r="AI48" s="228">
        <f>C47*AI47</f>
        <v>1076.2278926636643</v>
      </c>
      <c r="AJ48" s="228">
        <f>C47*AJ47</f>
        <v>0</v>
      </c>
      <c r="AK48" s="228">
        <f>C47*AK47</f>
        <v>1037.4326850380266</v>
      </c>
      <c r="AL48" s="228">
        <f>D48+E48+G48+H48+I48+O48+P48+Q48+AA48</f>
        <v>119783.72</v>
      </c>
      <c r="AM48" s="228">
        <f>F48+N48+R48+S48+T48+U48+V48+W48+X48+Y48</f>
        <v>10726.4</v>
      </c>
      <c r="AN48" s="228">
        <f>AH48+AI48+AJ48+AK48</f>
        <v>5566.8198168081362</v>
      </c>
    </row>
    <row r="49" spans="1:40">
      <c r="A49" s="101">
        <f>A47+1</f>
        <v>22</v>
      </c>
      <c r="B49" s="104" t="s">
        <v>27</v>
      </c>
      <c r="C49" s="66">
        <f>'Тех.хар-ка'!P31</f>
        <v>3448.1</v>
      </c>
      <c r="D49" s="84">
        <v>5.04</v>
      </c>
      <c r="E49" s="84">
        <v>4.4800000000000004</v>
      </c>
      <c r="F49" s="84">
        <v>1.32</v>
      </c>
      <c r="G49" s="84">
        <v>3.08</v>
      </c>
      <c r="H49" s="84">
        <v>3.23</v>
      </c>
      <c r="I49" s="84">
        <v>2.5</v>
      </c>
      <c r="J49" s="84"/>
      <c r="K49" s="84"/>
      <c r="L49" s="84"/>
      <c r="M49" s="84"/>
      <c r="N49" s="84">
        <v>0.11</v>
      </c>
      <c r="O49" s="84">
        <v>7.53</v>
      </c>
      <c r="P49" s="84">
        <v>0.37</v>
      </c>
      <c r="Q49" s="84">
        <v>0.6</v>
      </c>
      <c r="R49" s="84">
        <v>0.5</v>
      </c>
      <c r="S49" s="84"/>
      <c r="T49" s="84">
        <v>0.35</v>
      </c>
      <c r="U49" s="84">
        <v>0.34</v>
      </c>
      <c r="V49" s="84"/>
      <c r="W49" s="84">
        <v>0.14000000000000001</v>
      </c>
      <c r="X49" s="84">
        <v>0.37</v>
      </c>
      <c r="Y49" s="84"/>
      <c r="Z49" s="85">
        <f>SUM(D49:Y49)</f>
        <v>29.960000000000004</v>
      </c>
      <c r="AA49" s="86">
        <f t="shared" si="1"/>
        <v>8.99</v>
      </c>
      <c r="AB49" s="88">
        <v>2.74</v>
      </c>
      <c r="AC49" s="88">
        <v>0.88</v>
      </c>
      <c r="AD49" s="88">
        <v>3.75</v>
      </c>
      <c r="AE49" s="88">
        <v>2.1800000000000002</v>
      </c>
      <c r="AF49" s="88">
        <v>-0.56000000000000005</v>
      </c>
      <c r="AG49" s="232">
        <f>Z49+AA49</f>
        <v>38.950000000000003</v>
      </c>
      <c r="AH49" s="89">
        <v>0.95552965104454191</v>
      </c>
      <c r="AI49" s="89">
        <v>0.27029589098410672</v>
      </c>
      <c r="AJ49" s="89">
        <v>0</v>
      </c>
      <c r="AK49" s="89">
        <v>0.26055242932271844</v>
      </c>
      <c r="AL49" s="100"/>
      <c r="AM49" s="100"/>
      <c r="AN49" s="100"/>
    </row>
    <row r="50" spans="1:40" s="229" customFormat="1">
      <c r="A50" s="221"/>
      <c r="B50" s="222"/>
      <c r="C50" s="222"/>
      <c r="D50" s="223">
        <f>C49*D49</f>
        <v>17378.423999999999</v>
      </c>
      <c r="E50" s="223">
        <f>C49*E49</f>
        <v>15447.488000000001</v>
      </c>
      <c r="F50" s="223">
        <f>C49*F49</f>
        <v>4551.4920000000002</v>
      </c>
      <c r="G50" s="223">
        <f>C49*G49</f>
        <v>10620.147999999999</v>
      </c>
      <c r="H50" s="223">
        <f>C49*H49</f>
        <v>11137.362999999999</v>
      </c>
      <c r="I50" s="223">
        <f>C49*I49</f>
        <v>8620.25</v>
      </c>
      <c r="J50" s="223"/>
      <c r="K50" s="223"/>
      <c r="L50" s="223"/>
      <c r="M50" s="223"/>
      <c r="N50" s="223">
        <f>C49*N49</f>
        <v>379.291</v>
      </c>
      <c r="O50" s="223">
        <f>C49*O49</f>
        <v>25964.192999999999</v>
      </c>
      <c r="P50" s="223">
        <f>C49*P49</f>
        <v>1275.797</v>
      </c>
      <c r="Q50" s="223">
        <f>C49*Q49</f>
        <v>2068.8599999999997</v>
      </c>
      <c r="R50" s="223">
        <f>C49*R49</f>
        <v>1724.05</v>
      </c>
      <c r="S50" s="223">
        <f>C49*S49</f>
        <v>0</v>
      </c>
      <c r="T50" s="223">
        <f>C49*T49</f>
        <v>1206.8349999999998</v>
      </c>
      <c r="U50" s="223">
        <f>C49*U49</f>
        <v>1172.354</v>
      </c>
      <c r="V50" s="223">
        <f>C49*V49</f>
        <v>0</v>
      </c>
      <c r="W50" s="223">
        <f>C49*W49</f>
        <v>482.73400000000004</v>
      </c>
      <c r="X50" s="223">
        <f>C49*X49</f>
        <v>1275.797</v>
      </c>
      <c r="Y50" s="223">
        <f>C49*Y49</f>
        <v>0</v>
      </c>
      <c r="Z50" s="224">
        <f>C49*Z49</f>
        <v>103305.07600000002</v>
      </c>
      <c r="AA50" s="225">
        <f>C49*AA49</f>
        <v>30998.419000000002</v>
      </c>
      <c r="AB50" s="226"/>
      <c r="AC50" s="227"/>
      <c r="AD50" s="227"/>
      <c r="AE50" s="227"/>
      <c r="AF50" s="227"/>
      <c r="AG50" s="233">
        <f>C49*AG49</f>
        <v>134303.495</v>
      </c>
      <c r="AH50" s="228">
        <f>C49*AH49</f>
        <v>3294.7617897666851</v>
      </c>
      <c r="AI50" s="228">
        <f>C49*AI49</f>
        <v>932.00726170229836</v>
      </c>
      <c r="AJ50" s="228">
        <f>C49*AJ49</f>
        <v>0</v>
      </c>
      <c r="AK50" s="228">
        <f>C49*AK49</f>
        <v>898.41083154766545</v>
      </c>
      <c r="AL50" s="228">
        <f>D50+E50+G50+H50+I50+O50+P50+Q50+AA50</f>
        <v>123510.94200000001</v>
      </c>
      <c r="AM50" s="228">
        <f>F50+N50+R50+S50+T50+U50+V50+W50+X50+Y50</f>
        <v>10792.553000000002</v>
      </c>
      <c r="AN50" s="228">
        <f>AH50+AI50+AJ50+AK50</f>
        <v>5125.179883016649</v>
      </c>
    </row>
    <row r="51" spans="1:40">
      <c r="A51" s="101">
        <f>A49+1</f>
        <v>23</v>
      </c>
      <c r="B51" s="104" t="s">
        <v>28</v>
      </c>
      <c r="C51" s="66">
        <f>'Тех.хар-ка'!P32</f>
        <v>3390.7999999999997</v>
      </c>
      <c r="D51" s="84">
        <v>5.04</v>
      </c>
      <c r="E51" s="84">
        <v>5.28</v>
      </c>
      <c r="F51" s="84">
        <v>1.25</v>
      </c>
      <c r="G51" s="84">
        <v>3.02</v>
      </c>
      <c r="H51" s="84">
        <v>3.16</v>
      </c>
      <c r="I51" s="84">
        <v>2.44</v>
      </c>
      <c r="J51" s="84"/>
      <c r="K51" s="84"/>
      <c r="L51" s="84"/>
      <c r="M51" s="84"/>
      <c r="N51" s="84">
        <v>0.11</v>
      </c>
      <c r="O51" s="84">
        <v>7.45</v>
      </c>
      <c r="P51" s="84">
        <v>0.37</v>
      </c>
      <c r="Q51" s="84">
        <v>0.63</v>
      </c>
      <c r="R51" s="84"/>
      <c r="S51" s="84"/>
      <c r="T51" s="84"/>
      <c r="U51" s="84"/>
      <c r="V51" s="84"/>
      <c r="W51" s="84"/>
      <c r="X51" s="84">
        <v>0.37</v>
      </c>
      <c r="Y51" s="84"/>
      <c r="Z51" s="85">
        <f>SUM(D51:Y51)</f>
        <v>29.12</v>
      </c>
      <c r="AA51" s="86">
        <f t="shared" si="1"/>
        <v>8.9939999999999998</v>
      </c>
      <c r="AB51" s="87">
        <v>2.6040000000000001</v>
      </c>
      <c r="AC51" s="88">
        <v>0.69</v>
      </c>
      <c r="AD51" s="88">
        <v>3.65</v>
      </c>
      <c r="AE51" s="88">
        <v>2.0499999999999998</v>
      </c>
      <c r="AF51" s="88"/>
      <c r="AG51" s="232">
        <f>Z51+AA51</f>
        <v>38.114000000000004</v>
      </c>
      <c r="AH51" s="89">
        <v>1.0422911030560222</v>
      </c>
      <c r="AI51" s="89">
        <v>0.32886363363097876</v>
      </c>
      <c r="AJ51" s="89">
        <v>0</v>
      </c>
      <c r="AK51" s="89">
        <v>0.31700895765184339</v>
      </c>
      <c r="AL51" s="100"/>
      <c r="AM51" s="100"/>
      <c r="AN51" s="100"/>
    </row>
    <row r="52" spans="1:40" s="229" customFormat="1">
      <c r="A52" s="221"/>
      <c r="B52" s="222"/>
      <c r="C52" s="222"/>
      <c r="D52" s="223">
        <f>C51*D51</f>
        <v>17089.631999999998</v>
      </c>
      <c r="E52" s="223">
        <f>C51*E51</f>
        <v>17903.423999999999</v>
      </c>
      <c r="F52" s="223">
        <f>C51*F51</f>
        <v>4238.5</v>
      </c>
      <c r="G52" s="223">
        <f>C51*G51</f>
        <v>10240.215999999999</v>
      </c>
      <c r="H52" s="223">
        <f>C51*H51</f>
        <v>10714.928</v>
      </c>
      <c r="I52" s="223">
        <f>C51*I51</f>
        <v>8273.5519999999997</v>
      </c>
      <c r="J52" s="223"/>
      <c r="K52" s="223"/>
      <c r="L52" s="223"/>
      <c r="M52" s="223"/>
      <c r="N52" s="223">
        <f>C51*N51</f>
        <v>372.988</v>
      </c>
      <c r="O52" s="223">
        <f>C51*O51</f>
        <v>25261.46</v>
      </c>
      <c r="P52" s="223">
        <f>C51*P51</f>
        <v>1254.5959999999998</v>
      </c>
      <c r="Q52" s="223">
        <f>C51*Q51</f>
        <v>2136.2039999999997</v>
      </c>
      <c r="R52" s="223">
        <f>C51*R51</f>
        <v>0</v>
      </c>
      <c r="S52" s="223">
        <f>C51*S51</f>
        <v>0</v>
      </c>
      <c r="T52" s="223">
        <f>C51*T51</f>
        <v>0</v>
      </c>
      <c r="U52" s="223">
        <f>C51*U51</f>
        <v>0</v>
      </c>
      <c r="V52" s="223">
        <f>C51*V51</f>
        <v>0</v>
      </c>
      <c r="W52" s="223">
        <f>C51*W51</f>
        <v>0</v>
      </c>
      <c r="X52" s="223">
        <f>C51*X51</f>
        <v>1254.5959999999998</v>
      </c>
      <c r="Y52" s="223">
        <f>C51*Y51</f>
        <v>0</v>
      </c>
      <c r="Z52" s="224">
        <f>C51*Z51</f>
        <v>98740.09599999999</v>
      </c>
      <c r="AA52" s="225">
        <f>C51*AA51</f>
        <v>30496.855199999998</v>
      </c>
      <c r="AB52" s="226"/>
      <c r="AC52" s="227"/>
      <c r="AD52" s="227"/>
      <c r="AE52" s="227"/>
      <c r="AF52" s="227"/>
      <c r="AG52" s="233">
        <f>C51*AG51</f>
        <v>129236.95120000001</v>
      </c>
      <c r="AH52" s="228">
        <f>C51*AH51</f>
        <v>3534.2006722423598</v>
      </c>
      <c r="AI52" s="228">
        <f>C51*AI51</f>
        <v>1115.1108089159227</v>
      </c>
      <c r="AJ52" s="228">
        <f>C51*AJ51</f>
        <v>0</v>
      </c>
      <c r="AK52" s="228">
        <f>C51*AK51</f>
        <v>1074.9139736058705</v>
      </c>
      <c r="AL52" s="228">
        <f>D52+E52+G52+H52+I52+O52+P52+Q52+AA52</f>
        <v>123370.86720000001</v>
      </c>
      <c r="AM52" s="228">
        <f>F52+N52+R52+S52+T52+U52+V52+W52+X52+Y52</f>
        <v>5866.0839999999998</v>
      </c>
      <c r="AN52" s="228">
        <f>AH52+AI52+AJ52+AK52</f>
        <v>5724.2254547641533</v>
      </c>
    </row>
    <row r="53" spans="1:40">
      <c r="A53" s="101">
        <f>A51+1</f>
        <v>24</v>
      </c>
      <c r="B53" s="104" t="s">
        <v>29</v>
      </c>
      <c r="C53" s="66">
        <f>'Тех.хар-ка'!P33</f>
        <v>3431.5</v>
      </c>
      <c r="D53" s="84">
        <v>5.04</v>
      </c>
      <c r="E53" s="84">
        <v>4.53</v>
      </c>
      <c r="F53" s="84">
        <v>1.38</v>
      </c>
      <c r="G53" s="84">
        <v>3.04</v>
      </c>
      <c r="H53" s="84">
        <v>3.19</v>
      </c>
      <c r="I53" s="84">
        <v>2.48</v>
      </c>
      <c r="J53" s="84"/>
      <c r="K53" s="84"/>
      <c r="L53" s="84"/>
      <c r="M53" s="84"/>
      <c r="N53" s="84">
        <v>0.11</v>
      </c>
      <c r="O53" s="84">
        <v>7.55</v>
      </c>
      <c r="P53" s="84">
        <v>0.37</v>
      </c>
      <c r="Q53" s="84">
        <v>0.66</v>
      </c>
      <c r="R53" s="84">
        <v>0.5</v>
      </c>
      <c r="S53" s="84"/>
      <c r="T53" s="84">
        <v>0.36</v>
      </c>
      <c r="U53" s="84">
        <v>0.34</v>
      </c>
      <c r="V53" s="84"/>
      <c r="W53" s="84">
        <v>0.14000000000000001</v>
      </c>
      <c r="X53" s="84">
        <v>0.37</v>
      </c>
      <c r="Y53" s="84"/>
      <c r="Z53" s="85">
        <f>SUM(D53:Y53)</f>
        <v>30.060000000000002</v>
      </c>
      <c r="AA53" s="86">
        <f t="shared" si="1"/>
        <v>8.8849999999999998</v>
      </c>
      <c r="AB53" s="87">
        <v>2.7349999999999999</v>
      </c>
      <c r="AC53" s="88">
        <v>0.89</v>
      </c>
      <c r="AD53" s="88">
        <v>3.72</v>
      </c>
      <c r="AE53" s="88">
        <v>2.17</v>
      </c>
      <c r="AF53" s="88">
        <v>-0.63</v>
      </c>
      <c r="AG53" s="232">
        <f>Z53+AA53</f>
        <v>38.945</v>
      </c>
      <c r="AH53" s="89">
        <v>0.96325417407267111</v>
      </c>
      <c r="AI53" s="89">
        <v>0.27656066668609225</v>
      </c>
      <c r="AJ53" s="89">
        <v>0</v>
      </c>
      <c r="AK53" s="89">
        <v>0.26659137620560036</v>
      </c>
      <c r="AL53" s="100"/>
      <c r="AM53" s="100"/>
      <c r="AN53" s="100"/>
    </row>
    <row r="54" spans="1:40" s="229" customFormat="1">
      <c r="A54" s="221"/>
      <c r="B54" s="222"/>
      <c r="C54" s="222"/>
      <c r="D54" s="223">
        <f>C53*D53</f>
        <v>17294.759999999998</v>
      </c>
      <c r="E54" s="223">
        <f>C53*E53</f>
        <v>15544.695000000002</v>
      </c>
      <c r="F54" s="223">
        <f>C53*F53</f>
        <v>4735.4699999999993</v>
      </c>
      <c r="G54" s="223">
        <f>C53*G53</f>
        <v>10431.76</v>
      </c>
      <c r="H54" s="223">
        <f>C53*H53</f>
        <v>10946.485000000001</v>
      </c>
      <c r="I54" s="223">
        <f>C53*I53</f>
        <v>8510.1200000000008</v>
      </c>
      <c r="J54" s="223"/>
      <c r="K54" s="223"/>
      <c r="L54" s="223"/>
      <c r="M54" s="223"/>
      <c r="N54" s="223">
        <f>C53*N53</f>
        <v>377.46499999999997</v>
      </c>
      <c r="O54" s="223">
        <f>C53*O53</f>
        <v>25907.825000000001</v>
      </c>
      <c r="P54" s="223">
        <f>C53*P53</f>
        <v>1269.655</v>
      </c>
      <c r="Q54" s="223">
        <f>C53*Q53</f>
        <v>2264.79</v>
      </c>
      <c r="R54" s="223">
        <f>C53*R53</f>
        <v>1715.75</v>
      </c>
      <c r="S54" s="223">
        <f>C53*S53</f>
        <v>0</v>
      </c>
      <c r="T54" s="223">
        <f>C53*T53</f>
        <v>1235.3399999999999</v>
      </c>
      <c r="U54" s="223">
        <f>C53*U53</f>
        <v>1166.71</v>
      </c>
      <c r="V54" s="223">
        <f>C53*V53</f>
        <v>0</v>
      </c>
      <c r="W54" s="223">
        <f>C53*W53</f>
        <v>480.41</v>
      </c>
      <c r="X54" s="223">
        <f>C53*X53</f>
        <v>1269.655</v>
      </c>
      <c r="Y54" s="223">
        <f>C53*Y53</f>
        <v>0</v>
      </c>
      <c r="Z54" s="224">
        <f>C53*Z53</f>
        <v>103150.89000000001</v>
      </c>
      <c r="AA54" s="225">
        <f>C53*AA53</f>
        <v>30488.877499999999</v>
      </c>
      <c r="AB54" s="226"/>
      <c r="AC54" s="227"/>
      <c r="AD54" s="227"/>
      <c r="AE54" s="227"/>
      <c r="AF54" s="227"/>
      <c r="AG54" s="233">
        <f>C53*AG53</f>
        <v>133639.76749999999</v>
      </c>
      <c r="AH54" s="228">
        <f>C53*AH53</f>
        <v>3305.406698330371</v>
      </c>
      <c r="AI54" s="228">
        <f>C53*AI53</f>
        <v>949.01792773332556</v>
      </c>
      <c r="AJ54" s="228">
        <f>C53*AJ53</f>
        <v>0</v>
      </c>
      <c r="AK54" s="228">
        <f>C53*AK53</f>
        <v>914.80830744951766</v>
      </c>
      <c r="AL54" s="228">
        <f>D54+E54+G54+H54+I54+O54+P54+Q54+AA54</f>
        <v>122658.9675</v>
      </c>
      <c r="AM54" s="228">
        <f>F54+N54+R54+S54+T54+U54+V54+W54+X54+Y54</f>
        <v>10980.800000000001</v>
      </c>
      <c r="AN54" s="228">
        <f>AH54+AI54+AJ54+AK54</f>
        <v>5169.2329335132144</v>
      </c>
    </row>
    <row r="55" spans="1:40">
      <c r="A55" s="101">
        <f>A53+1</f>
        <v>25</v>
      </c>
      <c r="B55" s="104" t="s">
        <v>30</v>
      </c>
      <c r="C55" s="66">
        <f>'Тех.хар-ка'!P34</f>
        <v>944.40000000000009</v>
      </c>
      <c r="D55" s="84">
        <v>5.04</v>
      </c>
      <c r="E55" s="84">
        <v>4.37</v>
      </c>
      <c r="F55" s="84">
        <v>0.9</v>
      </c>
      <c r="G55" s="84">
        <v>2.86</v>
      </c>
      <c r="H55" s="84">
        <v>3.07</v>
      </c>
      <c r="I55" s="84">
        <v>2.5</v>
      </c>
      <c r="J55" s="84"/>
      <c r="K55" s="84"/>
      <c r="L55" s="84"/>
      <c r="M55" s="84"/>
      <c r="N55" s="84">
        <v>0.11</v>
      </c>
      <c r="O55" s="84">
        <v>6.06</v>
      </c>
      <c r="P55" s="84">
        <v>0.37</v>
      </c>
      <c r="Q55" s="84">
        <v>0.46</v>
      </c>
      <c r="R55" s="84"/>
      <c r="S55" s="84"/>
      <c r="T55" s="84"/>
      <c r="U55" s="84"/>
      <c r="V55" s="84"/>
      <c r="W55" s="84"/>
      <c r="X55" s="84">
        <v>0.67</v>
      </c>
      <c r="Y55" s="84"/>
      <c r="Z55" s="85">
        <f>SUM(D55:Y55)</f>
        <v>26.41</v>
      </c>
      <c r="AA55" s="86">
        <f t="shared" si="1"/>
        <v>11.645</v>
      </c>
      <c r="AB55" s="87">
        <v>5.2750000000000004</v>
      </c>
      <c r="AC55" s="88"/>
      <c r="AD55" s="88">
        <v>3.75</v>
      </c>
      <c r="AE55" s="88">
        <v>2.62</v>
      </c>
      <c r="AF55" s="88"/>
      <c r="AG55" s="232">
        <f>Z55+AA55</f>
        <v>38.055</v>
      </c>
      <c r="AH55" s="89">
        <v>1.0421617958492162</v>
      </c>
      <c r="AI55" s="89">
        <v>0.33933728081321474</v>
      </c>
      <c r="AJ55" s="89">
        <v>0</v>
      </c>
      <c r="AK55" s="89">
        <v>0.32710505717916138</v>
      </c>
      <c r="AL55" s="100"/>
      <c r="AM55" s="100"/>
      <c r="AN55" s="100"/>
    </row>
    <row r="56" spans="1:40" s="229" customFormat="1">
      <c r="A56" s="221"/>
      <c r="B56" s="222"/>
      <c r="C56" s="222"/>
      <c r="D56" s="223">
        <f>C55*D55</f>
        <v>4759.7760000000007</v>
      </c>
      <c r="E56" s="223">
        <f>C55*E55</f>
        <v>4127.0280000000002</v>
      </c>
      <c r="F56" s="223">
        <f>C55*F55</f>
        <v>849.96000000000015</v>
      </c>
      <c r="G56" s="223">
        <f>C55*G55</f>
        <v>2700.9839999999999</v>
      </c>
      <c r="H56" s="223">
        <f>C55*H55</f>
        <v>2899.308</v>
      </c>
      <c r="I56" s="223">
        <f>C55*I55</f>
        <v>2361</v>
      </c>
      <c r="J56" s="223"/>
      <c r="K56" s="223"/>
      <c r="L56" s="223"/>
      <c r="M56" s="223"/>
      <c r="N56" s="223">
        <f>C55*N55</f>
        <v>103.88400000000001</v>
      </c>
      <c r="O56" s="223">
        <f>C55*O55</f>
        <v>5723.0640000000003</v>
      </c>
      <c r="P56" s="223">
        <f>C55*P55</f>
        <v>349.42800000000005</v>
      </c>
      <c r="Q56" s="223">
        <f>C55*Q55</f>
        <v>434.42400000000004</v>
      </c>
      <c r="R56" s="223">
        <f>C55*R55</f>
        <v>0</v>
      </c>
      <c r="S56" s="223">
        <f>C55*S55</f>
        <v>0</v>
      </c>
      <c r="T56" s="223">
        <f>C55*T55</f>
        <v>0</v>
      </c>
      <c r="U56" s="223">
        <f>C55*U55</f>
        <v>0</v>
      </c>
      <c r="V56" s="223">
        <f>C55*V55</f>
        <v>0</v>
      </c>
      <c r="W56" s="223">
        <f>C55*W55</f>
        <v>0</v>
      </c>
      <c r="X56" s="223">
        <f>C55*X55</f>
        <v>632.74800000000005</v>
      </c>
      <c r="Y56" s="223">
        <f>C55*Y55</f>
        <v>0</v>
      </c>
      <c r="Z56" s="224">
        <f>C55*Z55</f>
        <v>24941.604000000003</v>
      </c>
      <c r="AA56" s="225">
        <f>C55*AA55</f>
        <v>10997.538</v>
      </c>
      <c r="AB56" s="226"/>
      <c r="AC56" s="227"/>
      <c r="AD56" s="227"/>
      <c r="AE56" s="227"/>
      <c r="AF56" s="227"/>
      <c r="AG56" s="233">
        <f>C55*AG55</f>
        <v>35939.142</v>
      </c>
      <c r="AH56" s="228">
        <f>C55*AH55</f>
        <v>984.21759999999983</v>
      </c>
      <c r="AI56" s="228">
        <f>C55*AI55</f>
        <v>320.47012800000005</v>
      </c>
      <c r="AJ56" s="228">
        <f>C55*AJ55</f>
        <v>0</v>
      </c>
      <c r="AK56" s="228">
        <f>C55*AK55</f>
        <v>308.91801600000002</v>
      </c>
      <c r="AL56" s="228">
        <f>D56+E56+G56+H56+I56+O56+P56+Q56+AA56</f>
        <v>34352.550000000003</v>
      </c>
      <c r="AM56" s="228">
        <f>F56+N56+R56+S56+T56+U56+V56+W56+X56+Y56</f>
        <v>1586.5920000000001</v>
      </c>
      <c r="AN56" s="228">
        <f>AH56+AI56+AJ56+AK56</f>
        <v>1613.605744</v>
      </c>
    </row>
    <row r="57" spans="1:40" s="248" customFormat="1">
      <c r="A57" s="242">
        <v>26</v>
      </c>
      <c r="B57" s="243" t="s">
        <v>32</v>
      </c>
      <c r="C57" s="244">
        <f>'Тех.хар-ка'!P35</f>
        <v>3348.3</v>
      </c>
      <c r="D57" s="245">
        <v>5.04</v>
      </c>
      <c r="E57" s="245">
        <v>5.17</v>
      </c>
      <c r="F57" s="245">
        <v>1.43</v>
      </c>
      <c r="G57" s="245">
        <v>2.61</v>
      </c>
      <c r="H57" s="245">
        <v>3.61</v>
      </c>
      <c r="I57" s="245">
        <v>2.82</v>
      </c>
      <c r="J57" s="245"/>
      <c r="K57" s="245"/>
      <c r="L57" s="245"/>
      <c r="M57" s="245"/>
      <c r="N57" s="245">
        <v>0.11</v>
      </c>
      <c r="O57" s="245">
        <v>5.39</v>
      </c>
      <c r="P57" s="245">
        <v>0.37</v>
      </c>
      <c r="Q57" s="245">
        <v>0.94</v>
      </c>
      <c r="R57" s="245">
        <v>0.43</v>
      </c>
      <c r="S57" s="245">
        <v>0.26</v>
      </c>
      <c r="T57" s="245">
        <v>0.37</v>
      </c>
      <c r="U57" s="245">
        <v>0.35</v>
      </c>
      <c r="V57" s="245">
        <v>0.26</v>
      </c>
      <c r="W57" s="245">
        <v>0.15</v>
      </c>
      <c r="X57" s="245">
        <v>0.19</v>
      </c>
      <c r="Y57" s="245"/>
      <c r="Z57" s="246">
        <f>SUM(D57:Y57)</f>
        <v>29.500000000000007</v>
      </c>
      <c r="AA57" s="246">
        <f t="shared" ref="AA57:AA69" si="2">AB57+AC57+AF57+AD57+AE57</f>
        <v>9.8000000000000007</v>
      </c>
      <c r="AB57" s="247">
        <v>3.48</v>
      </c>
      <c r="AC57" s="247">
        <v>0.7</v>
      </c>
      <c r="AD57" s="247">
        <v>4.2300000000000004</v>
      </c>
      <c r="AE57" s="247">
        <v>2.02</v>
      </c>
      <c r="AF57" s="247">
        <v>-0.63</v>
      </c>
      <c r="AG57" s="246">
        <f>Z57+AA57</f>
        <v>39.300000000000011</v>
      </c>
      <c r="AH57" s="244">
        <v>0.9646039797578706</v>
      </c>
      <c r="AI57" s="244">
        <v>0.12522144710325578</v>
      </c>
      <c r="AJ57" s="244">
        <v>0.43235648121333348</v>
      </c>
      <c r="AK57" s="244">
        <v>0.24141508128200154</v>
      </c>
      <c r="AL57" s="243"/>
      <c r="AM57" s="243"/>
      <c r="AN57" s="243"/>
    </row>
    <row r="58" spans="1:40" s="229" customFormat="1">
      <c r="A58" s="221"/>
      <c r="B58" s="222"/>
      <c r="C58" s="222"/>
      <c r="D58" s="223">
        <f>C57*D57</f>
        <v>16875.432000000001</v>
      </c>
      <c r="E58" s="223">
        <f>C57*E57</f>
        <v>17310.710999999999</v>
      </c>
      <c r="F58" s="223">
        <f>C57*F57</f>
        <v>4788.0690000000004</v>
      </c>
      <c r="G58" s="223">
        <f>C57*G57</f>
        <v>8739.0630000000001</v>
      </c>
      <c r="H58" s="223">
        <f>C57*H57</f>
        <v>12087.362999999999</v>
      </c>
      <c r="I58" s="223">
        <f>C57*I57</f>
        <v>9442.2060000000001</v>
      </c>
      <c r="J58" s="223"/>
      <c r="K58" s="223"/>
      <c r="L58" s="223"/>
      <c r="M58" s="223"/>
      <c r="N58" s="223">
        <f>C57*N57</f>
        <v>368.31300000000005</v>
      </c>
      <c r="O58" s="223">
        <f>C57*O57</f>
        <v>18047.337</v>
      </c>
      <c r="P58" s="223">
        <f>C57*P57</f>
        <v>1238.8710000000001</v>
      </c>
      <c r="Q58" s="223">
        <f>C57*Q57</f>
        <v>3147.402</v>
      </c>
      <c r="R58" s="223">
        <f>C57*R57</f>
        <v>1439.769</v>
      </c>
      <c r="S58" s="223">
        <f>C57*S57</f>
        <v>870.55800000000011</v>
      </c>
      <c r="T58" s="223">
        <f>C57*T57</f>
        <v>1238.8710000000001</v>
      </c>
      <c r="U58" s="223">
        <f>C57*U57</f>
        <v>1171.905</v>
      </c>
      <c r="V58" s="223">
        <f>C57*V57</f>
        <v>870.55800000000011</v>
      </c>
      <c r="W58" s="223">
        <f>C57*W57</f>
        <v>502.245</v>
      </c>
      <c r="X58" s="223">
        <f>C57*X57</f>
        <v>636.17700000000002</v>
      </c>
      <c r="Y58" s="223">
        <f>C57*Y57</f>
        <v>0</v>
      </c>
      <c r="Z58" s="224">
        <f>C57*Z57</f>
        <v>98774.850000000035</v>
      </c>
      <c r="AA58" s="225">
        <f>C57*AA57</f>
        <v>32813.340000000004</v>
      </c>
      <c r="AB58" s="226"/>
      <c r="AC58" s="227"/>
      <c r="AD58" s="227"/>
      <c r="AE58" s="227"/>
      <c r="AF58" s="227"/>
      <c r="AG58" s="233">
        <f>C57*AG57</f>
        <v>131588.19000000003</v>
      </c>
      <c r="AH58" s="228">
        <f>C57*AH57</f>
        <v>3229.7835054232783</v>
      </c>
      <c r="AI58" s="228">
        <f>C57*AI57</f>
        <v>419.27897133583133</v>
      </c>
      <c r="AJ58" s="228">
        <f>C57*AJ57</f>
        <v>1447.6592060466046</v>
      </c>
      <c r="AK58" s="228">
        <f>C57*AK57</f>
        <v>808.33011665652577</v>
      </c>
      <c r="AL58" s="228">
        <f>D58+E58+G58+H58+I58+O58+P58+Q58+AA58</f>
        <v>119701.72500000001</v>
      </c>
      <c r="AM58" s="228">
        <f>F58+N58+R58+S58+T58+U58+V58+W58+X58+Y58</f>
        <v>11886.465000000004</v>
      </c>
      <c r="AN58" s="228">
        <f>AH58+AI58+AJ58+AK58</f>
        <v>5905.0517994622405</v>
      </c>
    </row>
    <row r="59" spans="1:40">
      <c r="A59" s="101">
        <f>A57+1</f>
        <v>27</v>
      </c>
      <c r="B59" s="104" t="s">
        <v>33</v>
      </c>
      <c r="C59" s="66">
        <f>'Тех.хар-ка'!P36</f>
        <v>5258.7</v>
      </c>
      <c r="D59" s="84">
        <v>5.04</v>
      </c>
      <c r="E59" s="84">
        <v>6.85</v>
      </c>
      <c r="F59" s="84">
        <v>1.69</v>
      </c>
      <c r="G59" s="84">
        <v>2.3199999999999998</v>
      </c>
      <c r="H59" s="84">
        <v>2.5</v>
      </c>
      <c r="I59" s="84">
        <v>1.4</v>
      </c>
      <c r="J59" s="84"/>
      <c r="K59" s="84"/>
      <c r="L59" s="84"/>
      <c r="M59" s="84"/>
      <c r="N59" s="84">
        <v>0.12</v>
      </c>
      <c r="O59" s="84">
        <v>5.69</v>
      </c>
      <c r="P59" s="84">
        <v>0.37</v>
      </c>
      <c r="Q59" s="84">
        <v>1.53</v>
      </c>
      <c r="R59" s="84">
        <v>0.27</v>
      </c>
      <c r="S59" s="84">
        <v>0.17</v>
      </c>
      <c r="T59" s="84">
        <v>0.23</v>
      </c>
      <c r="U59" s="84">
        <v>0.22</v>
      </c>
      <c r="V59" s="84">
        <v>0.16</v>
      </c>
      <c r="W59" s="84">
        <v>0.09</v>
      </c>
      <c r="X59" s="84">
        <v>0.24</v>
      </c>
      <c r="Y59" s="84">
        <v>1.65</v>
      </c>
      <c r="Z59" s="85">
        <f>SUM(D59:Y59)</f>
        <v>30.54</v>
      </c>
      <c r="AA59" s="86">
        <f t="shared" si="2"/>
        <v>8.7449999999999992</v>
      </c>
      <c r="AB59" s="87">
        <v>4.7850000000000001</v>
      </c>
      <c r="AC59" s="88">
        <v>1.55</v>
      </c>
      <c r="AD59" s="88">
        <v>2.09</v>
      </c>
      <c r="AE59" s="88">
        <v>2.2599999999999998</v>
      </c>
      <c r="AF59" s="88">
        <v>-1.94</v>
      </c>
      <c r="AG59" s="232">
        <f>Z59+AA59</f>
        <v>39.284999999999997</v>
      </c>
      <c r="AH59" s="89">
        <v>1.2927593897828522</v>
      </c>
      <c r="AI59" s="89">
        <v>0.22756684157531779</v>
      </c>
      <c r="AJ59" s="89">
        <v>0.78572801337462261</v>
      </c>
      <c r="AK59" s="89">
        <v>0.43872730132796334</v>
      </c>
      <c r="AL59" s="100"/>
      <c r="AM59" s="100"/>
      <c r="AN59" s="100"/>
    </row>
    <row r="60" spans="1:40" s="229" customFormat="1">
      <c r="A60" s="221"/>
      <c r="B60" s="222"/>
      <c r="C60" s="222"/>
      <c r="D60" s="223">
        <f>C59*D59</f>
        <v>26503.847999999998</v>
      </c>
      <c r="E60" s="223">
        <f>C59*E59</f>
        <v>36022.094999999994</v>
      </c>
      <c r="F60" s="223">
        <f>C59*F59</f>
        <v>8887.2029999999995</v>
      </c>
      <c r="G60" s="223">
        <f>C59*G59</f>
        <v>12200.183999999999</v>
      </c>
      <c r="H60" s="223">
        <f>C59*H59</f>
        <v>13146.75</v>
      </c>
      <c r="I60" s="223">
        <f>C59*I59</f>
        <v>7362.1799999999994</v>
      </c>
      <c r="J60" s="223"/>
      <c r="K60" s="223"/>
      <c r="L60" s="223"/>
      <c r="M60" s="223"/>
      <c r="N60" s="223">
        <f>C59*N59</f>
        <v>631.04399999999998</v>
      </c>
      <c r="O60" s="223">
        <f>C59*O59</f>
        <v>29922.003000000001</v>
      </c>
      <c r="P60" s="223">
        <f>C59*P59</f>
        <v>1945.7189999999998</v>
      </c>
      <c r="Q60" s="223">
        <f>C59*Q59</f>
        <v>8045.8109999999997</v>
      </c>
      <c r="R60" s="223">
        <f>C59*R59</f>
        <v>1419.8489999999999</v>
      </c>
      <c r="S60" s="223">
        <f>C59*S59</f>
        <v>893.97900000000004</v>
      </c>
      <c r="T60" s="223">
        <f>C59*T59</f>
        <v>1209.501</v>
      </c>
      <c r="U60" s="223">
        <f>C59*U59</f>
        <v>1156.914</v>
      </c>
      <c r="V60" s="223">
        <f>C59*V59</f>
        <v>841.39199999999994</v>
      </c>
      <c r="W60" s="223">
        <f>C59*W59</f>
        <v>473.28299999999996</v>
      </c>
      <c r="X60" s="223">
        <f>C59*X59</f>
        <v>1262.088</v>
      </c>
      <c r="Y60" s="223">
        <f>C59*Y59</f>
        <v>8676.8549999999996</v>
      </c>
      <c r="Z60" s="224">
        <f>C59*Z59</f>
        <v>160600.698</v>
      </c>
      <c r="AA60" s="225">
        <f>C59*AA59</f>
        <v>45987.331499999993</v>
      </c>
      <c r="AB60" s="226"/>
      <c r="AC60" s="227"/>
      <c r="AD60" s="227"/>
      <c r="AE60" s="227"/>
      <c r="AF60" s="227"/>
      <c r="AG60" s="233">
        <f>C59*AG59</f>
        <v>206588.02949999998</v>
      </c>
      <c r="AH60" s="228">
        <f>C59*AH59</f>
        <v>6798.2338030510846</v>
      </c>
      <c r="AI60" s="228">
        <f>C59*AI59</f>
        <v>1196.7057497921237</v>
      </c>
      <c r="AJ60" s="228">
        <f>C59*AJ59</f>
        <v>4131.9079039331282</v>
      </c>
      <c r="AK60" s="228">
        <f>C59*AK59</f>
        <v>2307.1352594933605</v>
      </c>
      <c r="AL60" s="228">
        <f>D60+E60+G60+H60+I60+O60+P60+Q60+AA60</f>
        <v>181135.92149999997</v>
      </c>
      <c r="AM60" s="228">
        <f>F60+N60+R60+S60+T60+U60+V60+W60+X60+Y60</f>
        <v>25452.108</v>
      </c>
      <c r="AN60" s="228">
        <f>AH60+AI60+AJ60+AK60</f>
        <v>14433.982716269697</v>
      </c>
    </row>
    <row r="61" spans="1:40" ht="12" customHeight="1">
      <c r="A61" s="101">
        <f>A59+1</f>
        <v>28</v>
      </c>
      <c r="B61" s="104" t="s">
        <v>34</v>
      </c>
      <c r="C61" s="66">
        <f>'Тех.хар-ка'!P37</f>
        <v>3410.6</v>
      </c>
      <c r="D61" s="84">
        <v>5.04</v>
      </c>
      <c r="E61" s="84">
        <v>5.89</v>
      </c>
      <c r="F61" s="84">
        <v>1.1200000000000001</v>
      </c>
      <c r="G61" s="84">
        <v>3.3</v>
      </c>
      <c r="H61" s="84">
        <v>3.56</v>
      </c>
      <c r="I61" s="84">
        <v>3</v>
      </c>
      <c r="J61" s="84"/>
      <c r="K61" s="84"/>
      <c r="L61" s="84"/>
      <c r="M61" s="84"/>
      <c r="N61" s="84">
        <v>0.11</v>
      </c>
      <c r="O61" s="84">
        <v>3.98</v>
      </c>
      <c r="P61" s="84">
        <v>0.37</v>
      </c>
      <c r="Q61" s="84">
        <v>0.67</v>
      </c>
      <c r="R61" s="84">
        <v>0.5</v>
      </c>
      <c r="S61" s="84"/>
      <c r="T61" s="84">
        <v>0.36</v>
      </c>
      <c r="U61" s="84">
        <v>0.35</v>
      </c>
      <c r="V61" s="84"/>
      <c r="W61" s="84">
        <v>0.14000000000000001</v>
      </c>
      <c r="X61" s="84">
        <v>0.37</v>
      </c>
      <c r="Y61" s="84"/>
      <c r="Z61" s="85">
        <f>SUM(D61:Y61)</f>
        <v>28.760000000000005</v>
      </c>
      <c r="AA61" s="86">
        <f t="shared" si="2"/>
        <v>10.175000000000001</v>
      </c>
      <c r="AB61" s="87">
        <v>3.7650000000000001</v>
      </c>
      <c r="AC61" s="88">
        <v>0.35</v>
      </c>
      <c r="AD61" s="88">
        <v>4.5</v>
      </c>
      <c r="AE61" s="88">
        <v>1.96</v>
      </c>
      <c r="AF61" s="88">
        <v>-0.4</v>
      </c>
      <c r="AG61" s="232">
        <f>Z61+AA61</f>
        <v>38.935000000000002</v>
      </c>
      <c r="AH61" s="89">
        <v>1.0434331374853114</v>
      </c>
      <c r="AI61" s="89">
        <v>0.31885170387779083</v>
      </c>
      <c r="AJ61" s="89">
        <v>0</v>
      </c>
      <c r="AK61" s="89">
        <v>0.30735793184488835</v>
      </c>
      <c r="AL61" s="100"/>
      <c r="AM61" s="100"/>
      <c r="AN61" s="100"/>
    </row>
    <row r="62" spans="1:40" s="229" customFormat="1">
      <c r="A62" s="221"/>
      <c r="B62" s="222"/>
      <c r="C62" s="222"/>
      <c r="D62" s="223">
        <f>C61*D61</f>
        <v>17189.423999999999</v>
      </c>
      <c r="E62" s="223">
        <f>C61*E61</f>
        <v>20088.433999999997</v>
      </c>
      <c r="F62" s="223">
        <f>C61*F61</f>
        <v>3819.8720000000003</v>
      </c>
      <c r="G62" s="223">
        <f>C61*G61</f>
        <v>11254.98</v>
      </c>
      <c r="H62" s="223">
        <f>C61*H61</f>
        <v>12141.735999999999</v>
      </c>
      <c r="I62" s="223">
        <f>C61*I61</f>
        <v>10231.799999999999</v>
      </c>
      <c r="J62" s="223"/>
      <c r="K62" s="223"/>
      <c r="L62" s="223"/>
      <c r="M62" s="223"/>
      <c r="N62" s="223">
        <f>C61*N61</f>
        <v>375.166</v>
      </c>
      <c r="O62" s="223">
        <f>C61*O61</f>
        <v>13574.188</v>
      </c>
      <c r="P62" s="223">
        <f>C61*P61</f>
        <v>1261.922</v>
      </c>
      <c r="Q62" s="223">
        <f>C61*Q61</f>
        <v>2285.1019999999999</v>
      </c>
      <c r="R62" s="223">
        <f>C61*R61</f>
        <v>1705.3</v>
      </c>
      <c r="S62" s="223">
        <f>C61*S61</f>
        <v>0</v>
      </c>
      <c r="T62" s="223">
        <f>C61*T61</f>
        <v>1227.816</v>
      </c>
      <c r="U62" s="223">
        <f>C61*U61</f>
        <v>1193.7099999999998</v>
      </c>
      <c r="V62" s="223">
        <f>C61*V61</f>
        <v>0</v>
      </c>
      <c r="W62" s="223">
        <f>C61*W61</f>
        <v>477.48400000000004</v>
      </c>
      <c r="X62" s="223">
        <f>C61*X61</f>
        <v>1261.922</v>
      </c>
      <c r="Y62" s="223">
        <f>C61*Y61</f>
        <v>0</v>
      </c>
      <c r="Z62" s="224">
        <f>C61*Z61</f>
        <v>98088.856000000014</v>
      </c>
      <c r="AA62" s="225">
        <f>C61*AA61</f>
        <v>34702.855000000003</v>
      </c>
      <c r="AB62" s="226"/>
      <c r="AC62" s="227"/>
      <c r="AD62" s="227"/>
      <c r="AE62" s="227"/>
      <c r="AF62" s="227"/>
      <c r="AG62" s="233">
        <f>C61*AG61</f>
        <v>132791.71100000001</v>
      </c>
      <c r="AH62" s="228">
        <f>C61*AH61</f>
        <v>3558.733058707403</v>
      </c>
      <c r="AI62" s="228">
        <f>C61*AI61</f>
        <v>1087.4756212455934</v>
      </c>
      <c r="AJ62" s="228">
        <f>C61*AJ61</f>
        <v>0</v>
      </c>
      <c r="AK62" s="228">
        <f>C61*AK61</f>
        <v>1048.2749623501761</v>
      </c>
      <c r="AL62" s="228">
        <f>D62+E62+G62+H62+I62+O62+P62+Q62+AA62</f>
        <v>122730.44099999999</v>
      </c>
      <c r="AM62" s="228">
        <f>F62+N62+R62+S62+T62+U62+V62+W62+X62+Y62</f>
        <v>10061.27</v>
      </c>
      <c r="AN62" s="228">
        <f>AH62+AI62+AJ62+AK62</f>
        <v>5694.483642303172</v>
      </c>
    </row>
    <row r="63" spans="1:40">
      <c r="A63" s="101">
        <f>A61+1</f>
        <v>29</v>
      </c>
      <c r="B63" s="104" t="s">
        <v>35</v>
      </c>
      <c r="C63" s="66">
        <f>'Тех.хар-ка'!P38</f>
        <v>3388.2</v>
      </c>
      <c r="D63" s="84">
        <v>5.04</v>
      </c>
      <c r="E63" s="84">
        <v>4.9800000000000004</v>
      </c>
      <c r="F63" s="84">
        <v>1.27</v>
      </c>
      <c r="G63" s="84">
        <v>3.12</v>
      </c>
      <c r="H63" s="84">
        <v>3.28</v>
      </c>
      <c r="I63" s="84">
        <v>2.5099999999999998</v>
      </c>
      <c r="J63" s="84"/>
      <c r="K63" s="84"/>
      <c r="L63" s="84"/>
      <c r="M63" s="84"/>
      <c r="N63" s="84">
        <v>0.11</v>
      </c>
      <c r="O63" s="84">
        <v>7.22</v>
      </c>
      <c r="P63" s="84">
        <v>0.37</v>
      </c>
      <c r="Q63" s="84">
        <v>1.1200000000000001</v>
      </c>
      <c r="R63" s="84">
        <v>0.51</v>
      </c>
      <c r="S63" s="84"/>
      <c r="T63" s="84"/>
      <c r="U63" s="84">
        <v>0.35</v>
      </c>
      <c r="V63" s="84"/>
      <c r="W63" s="84"/>
      <c r="X63" s="84">
        <v>0.19</v>
      </c>
      <c r="Y63" s="84"/>
      <c r="Z63" s="85">
        <f>SUM(D63:Y63)</f>
        <v>30.070000000000007</v>
      </c>
      <c r="AA63" s="86">
        <f t="shared" si="2"/>
        <v>8.5149999999999988</v>
      </c>
      <c r="AB63" s="87">
        <v>2.5249999999999999</v>
      </c>
      <c r="AC63" s="88">
        <v>0.34</v>
      </c>
      <c r="AD63" s="88">
        <v>3.77</v>
      </c>
      <c r="AE63" s="88">
        <v>2.1</v>
      </c>
      <c r="AF63" s="88">
        <v>-0.22</v>
      </c>
      <c r="AG63" s="232">
        <f>Z63+AA63</f>
        <v>38.585000000000008</v>
      </c>
      <c r="AH63" s="89">
        <v>1.0119884304350393</v>
      </c>
      <c r="AI63" s="89">
        <v>0.3006967735080574</v>
      </c>
      <c r="AJ63" s="89">
        <v>0</v>
      </c>
      <c r="AK63" s="89">
        <v>0.28985743934832653</v>
      </c>
      <c r="AL63" s="100"/>
      <c r="AM63" s="100"/>
      <c r="AN63" s="100"/>
    </row>
    <row r="64" spans="1:40" s="229" customFormat="1">
      <c r="A64" s="221"/>
      <c r="B64" s="222"/>
      <c r="C64" s="222"/>
      <c r="D64" s="223">
        <f>C63*D63</f>
        <v>17076.527999999998</v>
      </c>
      <c r="E64" s="223">
        <f>C63*E63</f>
        <v>16873.236000000001</v>
      </c>
      <c r="F64" s="223">
        <f>C63*F63</f>
        <v>4303.0140000000001</v>
      </c>
      <c r="G64" s="223">
        <f>C63*G63</f>
        <v>10571.183999999999</v>
      </c>
      <c r="H64" s="223">
        <f>C63*H63</f>
        <v>11113.295999999998</v>
      </c>
      <c r="I64" s="223">
        <f>C63*I63</f>
        <v>8504.3819999999996</v>
      </c>
      <c r="J64" s="223"/>
      <c r="K64" s="223"/>
      <c r="L64" s="223"/>
      <c r="M64" s="223"/>
      <c r="N64" s="223">
        <f>C63*N63</f>
        <v>372.702</v>
      </c>
      <c r="O64" s="223">
        <f>C63*O63</f>
        <v>24462.803999999996</v>
      </c>
      <c r="P64" s="223">
        <f>C63*P63</f>
        <v>1253.634</v>
      </c>
      <c r="Q64" s="223">
        <f>C63*Q63</f>
        <v>3794.7840000000001</v>
      </c>
      <c r="R64" s="223">
        <f>C63*R63</f>
        <v>1727.982</v>
      </c>
      <c r="S64" s="223">
        <f>C63*S63</f>
        <v>0</v>
      </c>
      <c r="T64" s="223">
        <f>C63*T63</f>
        <v>0</v>
      </c>
      <c r="U64" s="223">
        <f>C63*U63</f>
        <v>1185.8699999999999</v>
      </c>
      <c r="V64" s="223">
        <f>C63*V63</f>
        <v>0</v>
      </c>
      <c r="W64" s="223">
        <f>C63*W63</f>
        <v>0</v>
      </c>
      <c r="X64" s="223">
        <f>C63*X63</f>
        <v>643.75799999999992</v>
      </c>
      <c r="Y64" s="223">
        <f>C63*Y63</f>
        <v>0</v>
      </c>
      <c r="Z64" s="224">
        <f>C63*Z63</f>
        <v>101883.17400000001</v>
      </c>
      <c r="AA64" s="225">
        <f>C63*AA63</f>
        <v>28850.522999999994</v>
      </c>
      <c r="AB64" s="226"/>
      <c r="AC64" s="227"/>
      <c r="AD64" s="227"/>
      <c r="AE64" s="227"/>
      <c r="AF64" s="227"/>
      <c r="AG64" s="233">
        <f>C63*AG63</f>
        <v>130733.69700000001</v>
      </c>
      <c r="AH64" s="228">
        <f>C63*AH63</f>
        <v>3428.8191999999999</v>
      </c>
      <c r="AI64" s="228">
        <f>C63*AI63</f>
        <v>1018.8208080000001</v>
      </c>
      <c r="AJ64" s="228">
        <f>C63*AJ63</f>
        <v>0</v>
      </c>
      <c r="AK64" s="228">
        <f>C63*AK63</f>
        <v>982.09497599999986</v>
      </c>
      <c r="AL64" s="228">
        <f>D64+E64+G64+H64+I64+O64+P64+Q64+AA64</f>
        <v>122500.37099999998</v>
      </c>
      <c r="AM64" s="228">
        <f>F64+N64+R64+S64+T64+U64+V64+W64+X64+Y64</f>
        <v>8233.3260000000009</v>
      </c>
      <c r="AN64" s="228">
        <f>AH64+AI64+AJ64+AK64</f>
        <v>5429.7349840000006</v>
      </c>
    </row>
    <row r="65" spans="1:40">
      <c r="A65" s="101">
        <f>A63+1</f>
        <v>30</v>
      </c>
      <c r="B65" s="104" t="s">
        <v>36</v>
      </c>
      <c r="C65" s="66">
        <f>'Тех.хар-ка'!P39</f>
        <v>3450.3999999999996</v>
      </c>
      <c r="D65" s="84">
        <v>5.04</v>
      </c>
      <c r="E65" s="84">
        <v>5.87</v>
      </c>
      <c r="F65" s="84">
        <v>1.06</v>
      </c>
      <c r="G65" s="84">
        <v>3.11</v>
      </c>
      <c r="H65" s="84">
        <v>3.36</v>
      </c>
      <c r="I65" s="84">
        <v>3.11</v>
      </c>
      <c r="J65" s="84"/>
      <c r="K65" s="84"/>
      <c r="L65" s="84"/>
      <c r="M65" s="84"/>
      <c r="N65" s="84">
        <v>0.11</v>
      </c>
      <c r="O65" s="84">
        <v>2.99</v>
      </c>
      <c r="P65" s="84">
        <v>0.37</v>
      </c>
      <c r="Q65" s="84">
        <v>0.56000000000000005</v>
      </c>
      <c r="R65" s="84">
        <v>0.5</v>
      </c>
      <c r="S65" s="84"/>
      <c r="T65" s="84">
        <v>0.35</v>
      </c>
      <c r="U65" s="84">
        <v>0.34</v>
      </c>
      <c r="V65" s="84"/>
      <c r="W65" s="84">
        <v>0.14000000000000001</v>
      </c>
      <c r="X65" s="84">
        <v>0.37</v>
      </c>
      <c r="Y65" s="84"/>
      <c r="Z65" s="85">
        <f>SUM(D65:Y65)</f>
        <v>27.28</v>
      </c>
      <c r="AA65" s="86">
        <f t="shared" si="2"/>
        <v>11.664999999999999</v>
      </c>
      <c r="AB65" s="87">
        <v>4.3849999999999998</v>
      </c>
      <c r="AC65" s="88">
        <v>0.8</v>
      </c>
      <c r="AD65" s="88">
        <v>4.66</v>
      </c>
      <c r="AE65" s="88">
        <v>2.12</v>
      </c>
      <c r="AF65" s="88">
        <v>-0.3</v>
      </c>
      <c r="AG65" s="232">
        <f>Z65+AA65</f>
        <v>38.945</v>
      </c>
      <c r="AH65" s="89">
        <v>0.99116279878313773</v>
      </c>
      <c r="AI65" s="89">
        <v>0.30345739765319424</v>
      </c>
      <c r="AJ65" s="89">
        <v>0</v>
      </c>
      <c r="AK65" s="89">
        <v>0.29251855019556711</v>
      </c>
      <c r="AL65" s="100"/>
      <c r="AM65" s="100"/>
      <c r="AN65" s="100"/>
    </row>
    <row r="66" spans="1:40" s="229" customFormat="1">
      <c r="A66" s="221"/>
      <c r="B66" s="222"/>
      <c r="C66" s="222"/>
      <c r="D66" s="223">
        <f>C65*D65</f>
        <v>17390.016</v>
      </c>
      <c r="E66" s="223">
        <f>C65*E65</f>
        <v>20253.847999999998</v>
      </c>
      <c r="F66" s="223">
        <f>C65*F65</f>
        <v>3657.424</v>
      </c>
      <c r="G66" s="223">
        <f>C65*G65</f>
        <v>10730.743999999999</v>
      </c>
      <c r="H66" s="223">
        <f>C65*H65</f>
        <v>11593.343999999999</v>
      </c>
      <c r="I66" s="223">
        <f>C65*I65</f>
        <v>10730.743999999999</v>
      </c>
      <c r="J66" s="223"/>
      <c r="K66" s="223"/>
      <c r="L66" s="223"/>
      <c r="M66" s="223"/>
      <c r="N66" s="223">
        <f>C65*N65</f>
        <v>379.54399999999998</v>
      </c>
      <c r="O66" s="223">
        <f>C65*O65</f>
        <v>10316.696</v>
      </c>
      <c r="P66" s="223">
        <f>C65*P65</f>
        <v>1276.6479999999999</v>
      </c>
      <c r="Q66" s="223">
        <f>C65*Q65</f>
        <v>1932.2239999999999</v>
      </c>
      <c r="R66" s="223">
        <f>C65*R65</f>
        <v>1725.1999999999998</v>
      </c>
      <c r="S66" s="223">
        <f>C65*S65</f>
        <v>0</v>
      </c>
      <c r="T66" s="223">
        <f>C65*T65</f>
        <v>1207.6399999999999</v>
      </c>
      <c r="U66" s="223">
        <f>C65*U65</f>
        <v>1173.136</v>
      </c>
      <c r="V66" s="223">
        <f>C65*V65</f>
        <v>0</v>
      </c>
      <c r="W66" s="223">
        <f>C65*W65</f>
        <v>483.05599999999998</v>
      </c>
      <c r="X66" s="223">
        <f>C65*X65</f>
        <v>1276.6479999999999</v>
      </c>
      <c r="Y66" s="223">
        <f>C65*Y65</f>
        <v>0</v>
      </c>
      <c r="Z66" s="224">
        <f>C65*Z65</f>
        <v>94126.911999999997</v>
      </c>
      <c r="AA66" s="225">
        <f>C65*AA65</f>
        <v>40248.91599999999</v>
      </c>
      <c r="AB66" s="226"/>
      <c r="AC66" s="227"/>
      <c r="AD66" s="227"/>
      <c r="AE66" s="227"/>
      <c r="AF66" s="227"/>
      <c r="AG66" s="233">
        <f>C65*AG65</f>
        <v>134375.82799999998</v>
      </c>
      <c r="AH66" s="228">
        <f>C65*AH65</f>
        <v>3419.9081209213382</v>
      </c>
      <c r="AI66" s="228">
        <f>C65*AI65</f>
        <v>1047.0494048625812</v>
      </c>
      <c r="AJ66" s="228">
        <f>C65*AJ65</f>
        <v>0</v>
      </c>
      <c r="AK66" s="228">
        <f>C65*AK65</f>
        <v>1009.3060055947847</v>
      </c>
      <c r="AL66" s="228">
        <f>D66+E66+G66+H66+I66+O66+P66+Q66+AA66</f>
        <v>124473.18</v>
      </c>
      <c r="AM66" s="228">
        <f>F66+N66+R66+S66+T66+U66+V66+W66+X66+Y66</f>
        <v>9902.6479999999992</v>
      </c>
      <c r="AN66" s="228">
        <f>AH66+AI66+AJ66+AK66</f>
        <v>5476.2635313787041</v>
      </c>
    </row>
    <row r="67" spans="1:40">
      <c r="A67" s="101">
        <f>A65+1</f>
        <v>31</v>
      </c>
      <c r="B67" s="104" t="s">
        <v>37</v>
      </c>
      <c r="C67" s="66">
        <f>'Тех.хар-ка'!P40</f>
        <v>3421.7000000000003</v>
      </c>
      <c r="D67" s="84">
        <v>5.04</v>
      </c>
      <c r="E67" s="84">
        <v>5.03</v>
      </c>
      <c r="F67" s="84">
        <v>1.21</v>
      </c>
      <c r="G67" s="84">
        <v>3.06</v>
      </c>
      <c r="H67" s="84">
        <v>3.22</v>
      </c>
      <c r="I67" s="84">
        <v>2.4500000000000002</v>
      </c>
      <c r="J67" s="84"/>
      <c r="K67" s="84"/>
      <c r="L67" s="84"/>
      <c r="M67" s="84"/>
      <c r="N67" s="84">
        <v>0.11</v>
      </c>
      <c r="O67" s="84">
        <v>7.78</v>
      </c>
      <c r="P67" s="84">
        <v>0.37</v>
      </c>
      <c r="Q67" s="84">
        <v>0.7</v>
      </c>
      <c r="R67" s="84">
        <v>0.5</v>
      </c>
      <c r="S67" s="84"/>
      <c r="T67" s="84">
        <v>0.36</v>
      </c>
      <c r="U67" s="84">
        <v>0.34</v>
      </c>
      <c r="V67" s="84"/>
      <c r="W67" s="84">
        <v>0.14000000000000001</v>
      </c>
      <c r="X67" s="84">
        <v>0.37</v>
      </c>
      <c r="Y67" s="84"/>
      <c r="Z67" s="85">
        <f>SUM(D67:Y67)</f>
        <v>30.680000000000003</v>
      </c>
      <c r="AA67" s="86">
        <f t="shared" si="2"/>
        <v>8.2749999999999986</v>
      </c>
      <c r="AB67" s="88">
        <v>2.5950000000000002</v>
      </c>
      <c r="AC67" s="88">
        <v>0.42</v>
      </c>
      <c r="AD67" s="88">
        <v>3.67</v>
      </c>
      <c r="AE67" s="88">
        <v>2.0499999999999998</v>
      </c>
      <c r="AF67" s="88">
        <v>-0.46</v>
      </c>
      <c r="AG67" s="232">
        <f>Z67+AA67</f>
        <v>38.954999999999998</v>
      </c>
      <c r="AH67" s="89">
        <v>0.99008550205427015</v>
      </c>
      <c r="AI67" s="89">
        <v>0.31198680124132855</v>
      </c>
      <c r="AJ67" s="89">
        <v>0</v>
      </c>
      <c r="AK67" s="89">
        <v>0.30074049103777167</v>
      </c>
      <c r="AL67" s="100"/>
      <c r="AM67" s="100"/>
      <c r="AN67" s="100"/>
    </row>
    <row r="68" spans="1:40" s="229" customFormat="1">
      <c r="A68" s="221"/>
      <c r="B68" s="222"/>
      <c r="C68" s="222"/>
      <c r="D68" s="223">
        <f>C67*D67</f>
        <v>17245.368000000002</v>
      </c>
      <c r="E68" s="223">
        <f>C67*E67</f>
        <v>17211.151000000002</v>
      </c>
      <c r="F68" s="223">
        <f>C67*F67</f>
        <v>4140.2570000000005</v>
      </c>
      <c r="G68" s="223">
        <f>C67*G67</f>
        <v>10470.402000000002</v>
      </c>
      <c r="H68" s="223">
        <f>C67*H67</f>
        <v>11017.874000000002</v>
      </c>
      <c r="I68" s="223">
        <f>C67*I67</f>
        <v>8383.1650000000009</v>
      </c>
      <c r="J68" s="223"/>
      <c r="K68" s="223"/>
      <c r="L68" s="223"/>
      <c r="M68" s="223"/>
      <c r="N68" s="223">
        <f>C67*N67</f>
        <v>376.38700000000006</v>
      </c>
      <c r="O68" s="223">
        <f>C67*O67</f>
        <v>26620.826000000005</v>
      </c>
      <c r="P68" s="223">
        <f>C67*P67</f>
        <v>1266.029</v>
      </c>
      <c r="Q68" s="223">
        <f>C67*Q67</f>
        <v>2395.19</v>
      </c>
      <c r="R68" s="223">
        <f>C67*R67</f>
        <v>1710.8500000000001</v>
      </c>
      <c r="S68" s="223">
        <f>C67*S67</f>
        <v>0</v>
      </c>
      <c r="T68" s="223">
        <f>C67*T67</f>
        <v>1231.8120000000001</v>
      </c>
      <c r="U68" s="223">
        <f>C67*U67</f>
        <v>1163.3780000000002</v>
      </c>
      <c r="V68" s="223">
        <f>C67*V67</f>
        <v>0</v>
      </c>
      <c r="W68" s="223">
        <f>C67*W67</f>
        <v>479.03800000000007</v>
      </c>
      <c r="X68" s="223">
        <f>C67*X67</f>
        <v>1266.029</v>
      </c>
      <c r="Y68" s="223">
        <f>C67*Y67</f>
        <v>0</v>
      </c>
      <c r="Z68" s="224">
        <f>C67*Z67</f>
        <v>104977.75600000002</v>
      </c>
      <c r="AA68" s="225">
        <f>C67*AA67</f>
        <v>28314.567499999997</v>
      </c>
      <c r="AB68" s="226"/>
      <c r="AC68" s="227"/>
      <c r="AD68" s="227"/>
      <c r="AE68" s="227"/>
      <c r="AF68" s="227"/>
      <c r="AG68" s="233">
        <f>C67*AG67</f>
        <v>133292.3235</v>
      </c>
      <c r="AH68" s="228">
        <f>C67*AH67</f>
        <v>3387.7755623790963</v>
      </c>
      <c r="AI68" s="228">
        <f>C67*AI67</f>
        <v>1067.525237807454</v>
      </c>
      <c r="AJ68" s="228">
        <f>C67*AJ67</f>
        <v>0</v>
      </c>
      <c r="AK68" s="228">
        <f>C67*AK67</f>
        <v>1029.0437381839433</v>
      </c>
      <c r="AL68" s="228">
        <f>D68+E68+G68+H68+I68+O68+P68+Q68+AA68</f>
        <v>122924.57250000001</v>
      </c>
      <c r="AM68" s="228">
        <f>F68+N68+R68+S68+T68+U68+V68+W68+X68+Y68</f>
        <v>10367.751000000002</v>
      </c>
      <c r="AN68" s="228">
        <f>AH68+AI68+AJ68+AK68</f>
        <v>5484.344538370493</v>
      </c>
    </row>
    <row r="69" spans="1:40">
      <c r="A69" s="101">
        <f t="shared" ref="A69" si="3">A67+1</f>
        <v>32</v>
      </c>
      <c r="B69" s="104" t="s">
        <v>38</v>
      </c>
      <c r="C69" s="66">
        <f>'Тех.хар-ка'!P41</f>
        <v>933</v>
      </c>
      <c r="D69" s="84">
        <v>5.04</v>
      </c>
      <c r="E69" s="84">
        <v>5.29</v>
      </c>
      <c r="F69" s="84">
        <v>0.76</v>
      </c>
      <c r="G69" s="84">
        <v>3.04</v>
      </c>
      <c r="H69" s="84">
        <v>3.31</v>
      </c>
      <c r="I69" s="84">
        <v>3</v>
      </c>
      <c r="J69" s="84"/>
      <c r="K69" s="84"/>
      <c r="L69" s="84"/>
      <c r="M69" s="84"/>
      <c r="N69" s="84">
        <v>0.11</v>
      </c>
      <c r="O69" s="84">
        <v>2.38</v>
      </c>
      <c r="P69" s="84">
        <v>0.37</v>
      </c>
      <c r="Q69" s="84">
        <v>0.48</v>
      </c>
      <c r="R69" s="84"/>
      <c r="S69" s="84"/>
      <c r="T69" s="84"/>
      <c r="U69" s="84"/>
      <c r="V69" s="84"/>
      <c r="W69" s="84"/>
      <c r="X69" s="84">
        <v>0.68</v>
      </c>
      <c r="Y69" s="84"/>
      <c r="Z69" s="85">
        <f>SUM(D69:Y69)</f>
        <v>24.459999999999997</v>
      </c>
      <c r="AA69" s="86">
        <f t="shared" si="2"/>
        <v>13.459999999999999</v>
      </c>
      <c r="AB69" s="88">
        <v>6.61</v>
      </c>
      <c r="AC69" s="88"/>
      <c r="AD69" s="88">
        <v>4.5</v>
      </c>
      <c r="AE69" s="88">
        <v>2.35</v>
      </c>
      <c r="AF69" s="88"/>
      <c r="AG69" s="232">
        <f>Z69+AA69</f>
        <v>37.919999999999995</v>
      </c>
      <c r="AH69" s="89">
        <v>1.032005144694534</v>
      </c>
      <c r="AI69" s="89">
        <v>0.32970744694533766</v>
      </c>
      <c r="AJ69" s="89">
        <v>0</v>
      </c>
      <c r="AK69" s="89">
        <v>0.31782235369774919</v>
      </c>
      <c r="AL69" s="100"/>
      <c r="AM69" s="100"/>
      <c r="AN69" s="100"/>
    </row>
    <row r="70" spans="1:40" s="229" customFormat="1">
      <c r="A70" s="221"/>
      <c r="B70" s="222"/>
      <c r="C70" s="222"/>
      <c r="D70" s="223">
        <f>C69*D69</f>
        <v>4702.32</v>
      </c>
      <c r="E70" s="223">
        <f>C69*E69</f>
        <v>4935.57</v>
      </c>
      <c r="F70" s="223">
        <f>C69*F69</f>
        <v>709.08</v>
      </c>
      <c r="G70" s="223">
        <f>C69*G69</f>
        <v>2836.32</v>
      </c>
      <c r="H70" s="223">
        <f>C69*H69</f>
        <v>3088.23</v>
      </c>
      <c r="I70" s="223">
        <f>C69*I69</f>
        <v>2799</v>
      </c>
      <c r="J70" s="223"/>
      <c r="K70" s="223"/>
      <c r="L70" s="223"/>
      <c r="M70" s="223"/>
      <c r="N70" s="223">
        <f>C69*N69</f>
        <v>102.63</v>
      </c>
      <c r="O70" s="223">
        <f>C69*O69</f>
        <v>2220.54</v>
      </c>
      <c r="P70" s="223">
        <f>C69*P69</f>
        <v>345.21</v>
      </c>
      <c r="Q70" s="223">
        <f>C69*Q69</f>
        <v>447.84</v>
      </c>
      <c r="R70" s="223">
        <f>C69*R69</f>
        <v>0</v>
      </c>
      <c r="S70" s="223">
        <f>C69*S69</f>
        <v>0</v>
      </c>
      <c r="T70" s="223">
        <f>C69*T69</f>
        <v>0</v>
      </c>
      <c r="U70" s="223">
        <f>C69*U69</f>
        <v>0</v>
      </c>
      <c r="V70" s="223">
        <f>C69*V69</f>
        <v>0</v>
      </c>
      <c r="W70" s="223">
        <f>C69*W69</f>
        <v>0</v>
      </c>
      <c r="X70" s="223">
        <f>C69*X69</f>
        <v>634.44000000000005</v>
      </c>
      <c r="Y70" s="223">
        <f>C69*Y69</f>
        <v>0</v>
      </c>
      <c r="Z70" s="224">
        <f>C69*Z69</f>
        <v>22821.179999999997</v>
      </c>
      <c r="AA70" s="225">
        <f>C69*AA69</f>
        <v>12558.179999999998</v>
      </c>
      <c r="AB70" s="226"/>
      <c r="AC70" s="227"/>
      <c r="AD70" s="227"/>
      <c r="AE70" s="227"/>
      <c r="AF70" s="227"/>
      <c r="AG70" s="233">
        <f>C69*AG69</f>
        <v>35379.359999999993</v>
      </c>
      <c r="AH70" s="228">
        <f>C69*AH69</f>
        <v>962.86080000000015</v>
      </c>
      <c r="AI70" s="228">
        <f>C69*AI69</f>
        <v>307.61704800000001</v>
      </c>
      <c r="AJ70" s="228">
        <f>C69*AJ69</f>
        <v>0</v>
      </c>
      <c r="AK70" s="228">
        <f>C69*AK69</f>
        <v>296.528256</v>
      </c>
      <c r="AL70" s="228">
        <f>D70+E70+G70+H70+I70+O70+P70+Q70+AA70</f>
        <v>33933.21</v>
      </c>
      <c r="AM70" s="228">
        <f>F70+N70+R70+S70+T70+U70+V70+W70+X70+Y70</f>
        <v>1446.15</v>
      </c>
      <c r="AN70" s="228">
        <f>AH70+AI70+AJ70+AK70</f>
        <v>1567.0061040000003</v>
      </c>
    </row>
    <row r="71" spans="1:40" s="241" customFormat="1" ht="12">
      <c r="A71" s="274" t="s">
        <v>155</v>
      </c>
      <c r="B71" s="274"/>
      <c r="C71" s="239"/>
      <c r="D71" s="240">
        <f>D8+D10+D12+D14+D16+D18+D20+D22+D24+D26+D28+D30+D32+D34+D36+D38+D40+D42+D44+D46+D48+D50+D52+D54+D56+D58+D60+D62+D64+D66+D68+D70</f>
        <v>622424.88</v>
      </c>
      <c r="E71" s="240">
        <f t="shared" ref="E71:AN71" si="4">E8+E10+E12+E14+E16+E18+E20+E22+E24+E26+E28+E30+E32+E34+E36+E38+E40+E42+E44+E46+E48+E50+E52+E54+E56+E58+E60+E62+E64+E66+E68+E70</f>
        <v>627355.63899999997</v>
      </c>
      <c r="F71" s="240">
        <f t="shared" si="4"/>
        <v>168601.52299999999</v>
      </c>
      <c r="G71" s="240">
        <f t="shared" si="4"/>
        <v>322319.88</v>
      </c>
      <c r="H71" s="240">
        <f t="shared" si="4"/>
        <v>375484.79600000003</v>
      </c>
      <c r="I71" s="240">
        <f t="shared" si="4"/>
        <v>308253.37299999996</v>
      </c>
      <c r="J71" s="240">
        <f t="shared" si="4"/>
        <v>0</v>
      </c>
      <c r="K71" s="240">
        <f t="shared" si="4"/>
        <v>0</v>
      </c>
      <c r="L71" s="240">
        <f t="shared" si="4"/>
        <v>0</v>
      </c>
      <c r="M71" s="240">
        <f t="shared" si="4"/>
        <v>0</v>
      </c>
      <c r="N71" s="240">
        <f t="shared" si="4"/>
        <v>13515.406999999996</v>
      </c>
      <c r="O71" s="240">
        <f t="shared" si="4"/>
        <v>796540.39100000006</v>
      </c>
      <c r="P71" s="240">
        <f t="shared" si="4"/>
        <v>45693.889999999992</v>
      </c>
      <c r="Q71" s="240">
        <f t="shared" si="4"/>
        <v>96112.603000000003</v>
      </c>
      <c r="R71" s="240">
        <f t="shared" si="4"/>
        <v>45774.196000000004</v>
      </c>
      <c r="S71" s="240">
        <f t="shared" si="4"/>
        <v>1764.5370000000003</v>
      </c>
      <c r="T71" s="240">
        <f t="shared" si="4"/>
        <v>30580.718000000001</v>
      </c>
      <c r="U71" s="240">
        <f t="shared" si="4"/>
        <v>31412.170999999995</v>
      </c>
      <c r="V71" s="240">
        <f t="shared" si="4"/>
        <v>3423.9139999999998</v>
      </c>
      <c r="W71" s="240">
        <f t="shared" si="4"/>
        <v>12896.282000000001</v>
      </c>
      <c r="X71" s="240">
        <f t="shared" si="4"/>
        <v>36324.798000000003</v>
      </c>
      <c r="Y71" s="240">
        <f t="shared" si="4"/>
        <v>8676.8549999999996</v>
      </c>
      <c r="Z71" s="240">
        <f t="shared" si="4"/>
        <v>3547155.8530000006</v>
      </c>
      <c r="AA71" s="240">
        <f t="shared" si="4"/>
        <v>1247606.0756000001</v>
      </c>
      <c r="AB71" s="240">
        <f t="shared" si="4"/>
        <v>0</v>
      </c>
      <c r="AC71" s="240">
        <f t="shared" si="4"/>
        <v>0</v>
      </c>
      <c r="AD71" s="240">
        <f t="shared" si="4"/>
        <v>0</v>
      </c>
      <c r="AE71" s="240">
        <f t="shared" si="4"/>
        <v>0</v>
      </c>
      <c r="AF71" s="240">
        <f t="shared" si="4"/>
        <v>0</v>
      </c>
      <c r="AG71" s="240">
        <f t="shared" si="4"/>
        <v>4794761.9286000002</v>
      </c>
      <c r="AH71" s="240">
        <f t="shared" si="4"/>
        <v>124551.28845888692</v>
      </c>
      <c r="AI71" s="240">
        <f t="shared" si="4"/>
        <v>35508.284662877486</v>
      </c>
      <c r="AJ71" s="240">
        <f t="shared" si="4"/>
        <v>5579.5671099797328</v>
      </c>
      <c r="AK71" s="240">
        <f t="shared" si="4"/>
        <v>35786.036330838622</v>
      </c>
      <c r="AL71" s="240">
        <f t="shared" si="4"/>
        <v>4441791.5275999997</v>
      </c>
      <c r="AM71" s="240">
        <f t="shared" si="4"/>
        <v>352970.40100000001</v>
      </c>
      <c r="AN71" s="240">
        <f t="shared" si="4"/>
        <v>201425.17656258275</v>
      </c>
    </row>
    <row r="72" spans="1:40" s="237" customFormat="1">
      <c r="A72" s="272" t="s">
        <v>156</v>
      </c>
      <c r="B72" s="272"/>
      <c r="C72" s="236"/>
      <c r="D72" s="238">
        <f>D71*12</f>
        <v>7469098.5600000005</v>
      </c>
      <c r="E72" s="238">
        <f t="shared" ref="E72:AN72" si="5">E71*12</f>
        <v>7528267.6679999996</v>
      </c>
      <c r="F72" s="238">
        <f t="shared" si="5"/>
        <v>2023218.2759999998</v>
      </c>
      <c r="G72" s="238">
        <f t="shared" si="5"/>
        <v>3867838.56</v>
      </c>
      <c r="H72" s="238">
        <f t="shared" si="5"/>
        <v>4505817.5520000001</v>
      </c>
      <c r="I72" s="238">
        <f t="shared" si="5"/>
        <v>3699040.4759999998</v>
      </c>
      <c r="J72" s="238">
        <f t="shared" si="5"/>
        <v>0</v>
      </c>
      <c r="K72" s="238">
        <f t="shared" si="5"/>
        <v>0</v>
      </c>
      <c r="L72" s="238">
        <f t="shared" si="5"/>
        <v>0</v>
      </c>
      <c r="M72" s="238">
        <f t="shared" si="5"/>
        <v>0</v>
      </c>
      <c r="N72" s="238">
        <f t="shared" si="5"/>
        <v>162184.88399999996</v>
      </c>
      <c r="O72" s="238">
        <f t="shared" si="5"/>
        <v>9558484.6920000017</v>
      </c>
      <c r="P72" s="238">
        <f t="shared" si="5"/>
        <v>548326.67999999993</v>
      </c>
      <c r="Q72" s="238">
        <f t="shared" si="5"/>
        <v>1153351.236</v>
      </c>
      <c r="R72" s="238">
        <f t="shared" si="5"/>
        <v>549290.35200000007</v>
      </c>
      <c r="S72" s="238">
        <f t="shared" si="5"/>
        <v>21174.444000000003</v>
      </c>
      <c r="T72" s="238">
        <f t="shared" si="5"/>
        <v>366968.61600000004</v>
      </c>
      <c r="U72" s="238">
        <f t="shared" si="5"/>
        <v>376946.05199999991</v>
      </c>
      <c r="V72" s="238">
        <f t="shared" si="5"/>
        <v>41086.967999999993</v>
      </c>
      <c r="W72" s="238">
        <f t="shared" si="5"/>
        <v>154755.38400000002</v>
      </c>
      <c r="X72" s="238">
        <f t="shared" si="5"/>
        <v>435897.576</v>
      </c>
      <c r="Y72" s="238">
        <f t="shared" si="5"/>
        <v>104122.26</v>
      </c>
      <c r="Z72" s="238">
        <f t="shared" si="5"/>
        <v>42565870.236000009</v>
      </c>
      <c r="AA72" s="238">
        <f t="shared" si="5"/>
        <v>14971272.907200001</v>
      </c>
      <c r="AB72" s="238">
        <f t="shared" si="5"/>
        <v>0</v>
      </c>
      <c r="AC72" s="238">
        <f t="shared" si="5"/>
        <v>0</v>
      </c>
      <c r="AD72" s="238">
        <f t="shared" si="5"/>
        <v>0</v>
      </c>
      <c r="AE72" s="238">
        <f t="shared" si="5"/>
        <v>0</v>
      </c>
      <c r="AF72" s="238">
        <f t="shared" si="5"/>
        <v>0</v>
      </c>
      <c r="AG72" s="238">
        <f t="shared" si="5"/>
        <v>57537143.143200003</v>
      </c>
      <c r="AH72" s="238">
        <f t="shared" si="5"/>
        <v>1494615.4615066431</v>
      </c>
      <c r="AI72" s="238">
        <f t="shared" si="5"/>
        <v>426099.41595452983</v>
      </c>
      <c r="AJ72" s="238">
        <f t="shared" si="5"/>
        <v>66954.805319756793</v>
      </c>
      <c r="AK72" s="238">
        <f t="shared" si="5"/>
        <v>429432.43597006344</v>
      </c>
      <c r="AL72" s="238">
        <f t="shared" si="5"/>
        <v>53301498.331199996</v>
      </c>
      <c r="AM72" s="238">
        <f t="shared" si="5"/>
        <v>4235644.8119999999</v>
      </c>
      <c r="AN72" s="238">
        <f t="shared" si="5"/>
        <v>2417102.1187509932</v>
      </c>
    </row>
    <row r="73" spans="1:40">
      <c r="E73" s="105"/>
      <c r="F73" s="98">
        <f>F71*12</f>
        <v>2023218.2759999998</v>
      </c>
      <c r="Z73" s="105"/>
      <c r="AA73" s="105"/>
    </row>
    <row r="74" spans="1:40">
      <c r="E74" s="105"/>
      <c r="Z74" s="105"/>
      <c r="AA74" s="105"/>
    </row>
    <row r="75" spans="1:40">
      <c r="E75" s="105"/>
      <c r="Z75" s="105"/>
      <c r="AA75" s="105"/>
    </row>
  </sheetData>
  <mergeCells count="43">
    <mergeCell ref="A72:B72"/>
    <mergeCell ref="E2:Y2"/>
    <mergeCell ref="AL2:AN2"/>
    <mergeCell ref="A71:B71"/>
    <mergeCell ref="AL3:AL4"/>
    <mergeCell ref="AM3:AM4"/>
    <mergeCell ref="AN3:AN4"/>
    <mergeCell ref="Y3:Y4"/>
    <mergeCell ref="AH3:AH4"/>
    <mergeCell ref="AI3:AI4"/>
    <mergeCell ref="AJ3:AJ4"/>
    <mergeCell ref="AK3:AK4"/>
    <mergeCell ref="A5:AG5"/>
    <mergeCell ref="S3:S4"/>
    <mergeCell ref="T3:T4"/>
    <mergeCell ref="U3:U4"/>
    <mergeCell ref="AB2:AF2"/>
    <mergeCell ref="AG2:AG4"/>
    <mergeCell ref="AH2:AK2"/>
    <mergeCell ref="E3:E4"/>
    <mergeCell ref="F3:F4"/>
    <mergeCell ref="G3:G4"/>
    <mergeCell ref="H3:H4"/>
    <mergeCell ref="I3:I4"/>
    <mergeCell ref="J3:J4"/>
    <mergeCell ref="V3:V4"/>
    <mergeCell ref="W3:W4"/>
    <mergeCell ref="X3:X4"/>
    <mergeCell ref="M3:M4"/>
    <mergeCell ref="N3:N4"/>
    <mergeCell ref="O3:O4"/>
    <mergeCell ref="P3:P4"/>
    <mergeCell ref="B1:AA1"/>
    <mergeCell ref="A2:A4"/>
    <mergeCell ref="B2:B4"/>
    <mergeCell ref="C2:C4"/>
    <mergeCell ref="D2:D4"/>
    <mergeCell ref="Z2:Z4"/>
    <mergeCell ref="AA2:AA4"/>
    <mergeCell ref="K3:K4"/>
    <mergeCell ref="L3:L4"/>
    <mergeCell ref="Q3:Q4"/>
    <mergeCell ref="R3:R4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AI60"/>
  <sheetViews>
    <sheetView topLeftCell="A19" workbookViewId="0">
      <selection activeCell="AI52" sqref="AI52"/>
    </sheetView>
  </sheetViews>
  <sheetFormatPr defaultColWidth="10.28515625" defaultRowHeight="12.75" outlineLevelCol="1"/>
  <cols>
    <col min="1" max="1" width="5.5703125" style="199" customWidth="1"/>
    <col min="2" max="2" width="20.5703125" style="199" customWidth="1"/>
    <col min="3" max="3" width="5.7109375" style="199" bestFit="1" customWidth="1"/>
    <col min="4" max="4" width="6.85546875" style="199" bestFit="1" customWidth="1"/>
    <col min="5" max="5" width="5.7109375" style="199" bestFit="1" customWidth="1"/>
    <col min="6" max="6" width="5.5703125" style="199" customWidth="1"/>
    <col min="7" max="7" width="4.140625" style="199" customWidth="1"/>
    <col min="8" max="8" width="3.85546875" style="199" customWidth="1"/>
    <col min="9" max="9" width="7" style="199" customWidth="1"/>
    <col min="10" max="10" width="6.28515625" style="199" customWidth="1"/>
    <col min="11" max="11" width="9.28515625" style="199" hidden="1" customWidth="1" outlineLevel="1"/>
    <col min="12" max="12" width="10.5703125" style="200" hidden="1" customWidth="1" outlineLevel="1"/>
    <col min="13" max="13" width="8.42578125" style="199" hidden="1" customWidth="1" outlineLevel="1"/>
    <col min="14" max="14" width="9.42578125" style="199" hidden="1" customWidth="1" outlineLevel="1"/>
    <col min="15" max="15" width="8.5703125" style="199" hidden="1" customWidth="1" outlineLevel="1"/>
    <col min="16" max="16" width="10" style="199" hidden="1" customWidth="1" outlineLevel="1"/>
    <col min="17" max="17" width="8.42578125" style="199" hidden="1" customWidth="1" outlineLevel="1"/>
    <col min="18" max="18" width="10.140625" style="199" hidden="1" customWidth="1" outlineLevel="1"/>
    <col min="19" max="19" width="9" style="199" hidden="1" customWidth="1" outlineLevel="1"/>
    <col min="20" max="20" width="8.7109375" style="199" hidden="1" customWidth="1" outlineLevel="1"/>
    <col min="21" max="21" width="8.5703125" style="199" hidden="1" customWidth="1" outlineLevel="1"/>
    <col min="22" max="22" width="7.5703125" style="199" hidden="1" customWidth="1" outlineLevel="1"/>
    <col min="23" max="23" width="11.28515625" style="199" hidden="1" customWidth="1" collapsed="1"/>
    <col min="24" max="24" width="9.85546875" style="199" hidden="1" customWidth="1"/>
    <col min="25" max="25" width="9.42578125" style="199" hidden="1" customWidth="1"/>
    <col min="26" max="26" width="10.42578125" style="199" hidden="1" customWidth="1"/>
    <col min="27" max="27" width="9.5703125" style="199" hidden="1" customWidth="1"/>
    <col min="28" max="28" width="10.42578125" style="199" hidden="1" customWidth="1"/>
    <col min="29" max="29" width="0" style="199" hidden="1" customWidth="1"/>
    <col min="30" max="30" width="11.140625" style="199" hidden="1" customWidth="1"/>
    <col min="31" max="31" width="7.28515625" style="199" customWidth="1"/>
    <col min="32" max="256" width="10.28515625" style="199"/>
    <col min="257" max="257" width="5.5703125" style="199" customWidth="1"/>
    <col min="258" max="258" width="21.5703125" style="199" customWidth="1"/>
    <col min="259" max="259" width="7.7109375" style="199" customWidth="1"/>
    <col min="260" max="260" width="8.140625" style="199" customWidth="1"/>
    <col min="261" max="261" width="7.140625" style="199" customWidth="1"/>
    <col min="262" max="262" width="6.7109375" style="199" customWidth="1"/>
    <col min="263" max="263" width="5" style="199" customWidth="1"/>
    <col min="264" max="264" width="7.42578125" style="199" customWidth="1"/>
    <col min="265" max="265" width="6.28515625" style="199" customWidth="1"/>
    <col min="266" max="266" width="10.140625" style="199" customWidth="1"/>
    <col min="267" max="267" width="13.42578125" style="199" customWidth="1"/>
    <col min="268" max="268" width="14.5703125" style="199" customWidth="1"/>
    <col min="269" max="269" width="11.42578125" style="199" customWidth="1"/>
    <col min="270" max="270" width="12.85546875" style="199" customWidth="1"/>
    <col min="271" max="271" width="11.28515625" style="199" customWidth="1"/>
    <col min="272" max="272" width="16.28515625" style="199" customWidth="1"/>
    <col min="273" max="273" width="12.140625" style="199" customWidth="1"/>
    <col min="274" max="274" width="0" style="199" hidden="1" customWidth="1"/>
    <col min="275" max="275" width="12.140625" style="199" customWidth="1"/>
    <col min="276" max="276" width="10.85546875" style="199" customWidth="1"/>
    <col min="277" max="277" width="11.42578125" style="199" customWidth="1"/>
    <col min="278" max="278" width="11.28515625" style="199" customWidth="1"/>
    <col min="279" max="286" width="0" style="199" hidden="1" customWidth="1"/>
    <col min="287" max="512" width="10.28515625" style="199"/>
    <col min="513" max="513" width="5.5703125" style="199" customWidth="1"/>
    <col min="514" max="514" width="21.5703125" style="199" customWidth="1"/>
    <col min="515" max="515" width="7.7109375" style="199" customWidth="1"/>
    <col min="516" max="516" width="8.140625" style="199" customWidth="1"/>
    <col min="517" max="517" width="7.140625" style="199" customWidth="1"/>
    <col min="518" max="518" width="6.7109375" style="199" customWidth="1"/>
    <col min="519" max="519" width="5" style="199" customWidth="1"/>
    <col min="520" max="520" width="7.42578125" style="199" customWidth="1"/>
    <col min="521" max="521" width="6.28515625" style="199" customWidth="1"/>
    <col min="522" max="522" width="10.140625" style="199" customWidth="1"/>
    <col min="523" max="523" width="13.42578125" style="199" customWidth="1"/>
    <col min="524" max="524" width="14.5703125" style="199" customWidth="1"/>
    <col min="525" max="525" width="11.42578125" style="199" customWidth="1"/>
    <col min="526" max="526" width="12.85546875" style="199" customWidth="1"/>
    <col min="527" max="527" width="11.28515625" style="199" customWidth="1"/>
    <col min="528" max="528" width="16.28515625" style="199" customWidth="1"/>
    <col min="529" max="529" width="12.140625" style="199" customWidth="1"/>
    <col min="530" max="530" width="0" style="199" hidden="1" customWidth="1"/>
    <col min="531" max="531" width="12.140625" style="199" customWidth="1"/>
    <col min="532" max="532" width="10.85546875" style="199" customWidth="1"/>
    <col min="533" max="533" width="11.42578125" style="199" customWidth="1"/>
    <col min="534" max="534" width="11.28515625" style="199" customWidth="1"/>
    <col min="535" max="542" width="0" style="199" hidden="1" customWidth="1"/>
    <col min="543" max="768" width="10.28515625" style="199"/>
    <col min="769" max="769" width="5.5703125" style="199" customWidth="1"/>
    <col min="770" max="770" width="21.5703125" style="199" customWidth="1"/>
    <col min="771" max="771" width="7.7109375" style="199" customWidth="1"/>
    <col min="772" max="772" width="8.140625" style="199" customWidth="1"/>
    <col min="773" max="773" width="7.140625" style="199" customWidth="1"/>
    <col min="774" max="774" width="6.7109375" style="199" customWidth="1"/>
    <col min="775" max="775" width="5" style="199" customWidth="1"/>
    <col min="776" max="776" width="7.42578125" style="199" customWidth="1"/>
    <col min="777" max="777" width="6.28515625" style="199" customWidth="1"/>
    <col min="778" max="778" width="10.140625" style="199" customWidth="1"/>
    <col min="779" max="779" width="13.42578125" style="199" customWidth="1"/>
    <col min="780" max="780" width="14.5703125" style="199" customWidth="1"/>
    <col min="781" max="781" width="11.42578125" style="199" customWidth="1"/>
    <col min="782" max="782" width="12.85546875" style="199" customWidth="1"/>
    <col min="783" max="783" width="11.28515625" style="199" customWidth="1"/>
    <col min="784" max="784" width="16.28515625" style="199" customWidth="1"/>
    <col min="785" max="785" width="12.140625" style="199" customWidth="1"/>
    <col min="786" max="786" width="0" style="199" hidden="1" customWidth="1"/>
    <col min="787" max="787" width="12.140625" style="199" customWidth="1"/>
    <col min="788" max="788" width="10.85546875" style="199" customWidth="1"/>
    <col min="789" max="789" width="11.42578125" style="199" customWidth="1"/>
    <col min="790" max="790" width="11.28515625" style="199" customWidth="1"/>
    <col min="791" max="798" width="0" style="199" hidden="1" customWidth="1"/>
    <col min="799" max="1024" width="10.28515625" style="199"/>
    <col min="1025" max="1025" width="5.5703125" style="199" customWidth="1"/>
    <col min="1026" max="1026" width="21.5703125" style="199" customWidth="1"/>
    <col min="1027" max="1027" width="7.7109375" style="199" customWidth="1"/>
    <col min="1028" max="1028" width="8.140625" style="199" customWidth="1"/>
    <col min="1029" max="1029" width="7.140625" style="199" customWidth="1"/>
    <col min="1030" max="1030" width="6.7109375" style="199" customWidth="1"/>
    <col min="1031" max="1031" width="5" style="199" customWidth="1"/>
    <col min="1032" max="1032" width="7.42578125" style="199" customWidth="1"/>
    <col min="1033" max="1033" width="6.28515625" style="199" customWidth="1"/>
    <col min="1034" max="1034" width="10.140625" style="199" customWidth="1"/>
    <col min="1035" max="1035" width="13.42578125" style="199" customWidth="1"/>
    <col min="1036" max="1036" width="14.5703125" style="199" customWidth="1"/>
    <col min="1037" max="1037" width="11.42578125" style="199" customWidth="1"/>
    <col min="1038" max="1038" width="12.85546875" style="199" customWidth="1"/>
    <col min="1039" max="1039" width="11.28515625" style="199" customWidth="1"/>
    <col min="1040" max="1040" width="16.28515625" style="199" customWidth="1"/>
    <col min="1041" max="1041" width="12.140625" style="199" customWidth="1"/>
    <col min="1042" max="1042" width="0" style="199" hidden="1" customWidth="1"/>
    <col min="1043" max="1043" width="12.140625" style="199" customWidth="1"/>
    <col min="1044" max="1044" width="10.85546875" style="199" customWidth="1"/>
    <col min="1045" max="1045" width="11.42578125" style="199" customWidth="1"/>
    <col min="1046" max="1046" width="11.28515625" style="199" customWidth="1"/>
    <col min="1047" max="1054" width="0" style="199" hidden="1" customWidth="1"/>
    <col min="1055" max="1280" width="10.28515625" style="199"/>
    <col min="1281" max="1281" width="5.5703125" style="199" customWidth="1"/>
    <col min="1282" max="1282" width="21.5703125" style="199" customWidth="1"/>
    <col min="1283" max="1283" width="7.7109375" style="199" customWidth="1"/>
    <col min="1284" max="1284" width="8.140625" style="199" customWidth="1"/>
    <col min="1285" max="1285" width="7.140625" style="199" customWidth="1"/>
    <col min="1286" max="1286" width="6.7109375" style="199" customWidth="1"/>
    <col min="1287" max="1287" width="5" style="199" customWidth="1"/>
    <col min="1288" max="1288" width="7.42578125" style="199" customWidth="1"/>
    <col min="1289" max="1289" width="6.28515625" style="199" customWidth="1"/>
    <col min="1290" max="1290" width="10.140625" style="199" customWidth="1"/>
    <col min="1291" max="1291" width="13.42578125" style="199" customWidth="1"/>
    <col min="1292" max="1292" width="14.5703125" style="199" customWidth="1"/>
    <col min="1293" max="1293" width="11.42578125" style="199" customWidth="1"/>
    <col min="1294" max="1294" width="12.85546875" style="199" customWidth="1"/>
    <col min="1295" max="1295" width="11.28515625" style="199" customWidth="1"/>
    <col min="1296" max="1296" width="16.28515625" style="199" customWidth="1"/>
    <col min="1297" max="1297" width="12.140625" style="199" customWidth="1"/>
    <col min="1298" max="1298" width="0" style="199" hidden="1" customWidth="1"/>
    <col min="1299" max="1299" width="12.140625" style="199" customWidth="1"/>
    <col min="1300" max="1300" width="10.85546875" style="199" customWidth="1"/>
    <col min="1301" max="1301" width="11.42578125" style="199" customWidth="1"/>
    <col min="1302" max="1302" width="11.28515625" style="199" customWidth="1"/>
    <col min="1303" max="1310" width="0" style="199" hidden="1" customWidth="1"/>
    <col min="1311" max="1536" width="10.28515625" style="199"/>
    <col min="1537" max="1537" width="5.5703125" style="199" customWidth="1"/>
    <col min="1538" max="1538" width="21.5703125" style="199" customWidth="1"/>
    <col min="1539" max="1539" width="7.7109375" style="199" customWidth="1"/>
    <col min="1540" max="1540" width="8.140625" style="199" customWidth="1"/>
    <col min="1541" max="1541" width="7.140625" style="199" customWidth="1"/>
    <col min="1542" max="1542" width="6.7109375" style="199" customWidth="1"/>
    <col min="1543" max="1543" width="5" style="199" customWidth="1"/>
    <col min="1544" max="1544" width="7.42578125" style="199" customWidth="1"/>
    <col min="1545" max="1545" width="6.28515625" style="199" customWidth="1"/>
    <col min="1546" max="1546" width="10.140625" style="199" customWidth="1"/>
    <col min="1547" max="1547" width="13.42578125" style="199" customWidth="1"/>
    <col min="1548" max="1548" width="14.5703125" style="199" customWidth="1"/>
    <col min="1549" max="1549" width="11.42578125" style="199" customWidth="1"/>
    <col min="1550" max="1550" width="12.85546875" style="199" customWidth="1"/>
    <col min="1551" max="1551" width="11.28515625" style="199" customWidth="1"/>
    <col min="1552" max="1552" width="16.28515625" style="199" customWidth="1"/>
    <col min="1553" max="1553" width="12.140625" style="199" customWidth="1"/>
    <col min="1554" max="1554" width="0" style="199" hidden="1" customWidth="1"/>
    <col min="1555" max="1555" width="12.140625" style="199" customWidth="1"/>
    <col min="1556" max="1556" width="10.85546875" style="199" customWidth="1"/>
    <col min="1557" max="1557" width="11.42578125" style="199" customWidth="1"/>
    <col min="1558" max="1558" width="11.28515625" style="199" customWidth="1"/>
    <col min="1559" max="1566" width="0" style="199" hidden="1" customWidth="1"/>
    <col min="1567" max="1792" width="10.28515625" style="199"/>
    <col min="1793" max="1793" width="5.5703125" style="199" customWidth="1"/>
    <col min="1794" max="1794" width="21.5703125" style="199" customWidth="1"/>
    <col min="1795" max="1795" width="7.7109375" style="199" customWidth="1"/>
    <col min="1796" max="1796" width="8.140625" style="199" customWidth="1"/>
    <col min="1797" max="1797" width="7.140625" style="199" customWidth="1"/>
    <col min="1798" max="1798" width="6.7109375" style="199" customWidth="1"/>
    <col min="1799" max="1799" width="5" style="199" customWidth="1"/>
    <col min="1800" max="1800" width="7.42578125" style="199" customWidth="1"/>
    <col min="1801" max="1801" width="6.28515625" style="199" customWidth="1"/>
    <col min="1802" max="1802" width="10.140625" style="199" customWidth="1"/>
    <col min="1803" max="1803" width="13.42578125" style="199" customWidth="1"/>
    <col min="1804" max="1804" width="14.5703125" style="199" customWidth="1"/>
    <col min="1805" max="1805" width="11.42578125" style="199" customWidth="1"/>
    <col min="1806" max="1806" width="12.85546875" style="199" customWidth="1"/>
    <col min="1807" max="1807" width="11.28515625" style="199" customWidth="1"/>
    <col min="1808" max="1808" width="16.28515625" style="199" customWidth="1"/>
    <col min="1809" max="1809" width="12.140625" style="199" customWidth="1"/>
    <col min="1810" max="1810" width="0" style="199" hidden="1" customWidth="1"/>
    <col min="1811" max="1811" width="12.140625" style="199" customWidth="1"/>
    <col min="1812" max="1812" width="10.85546875" style="199" customWidth="1"/>
    <col min="1813" max="1813" width="11.42578125" style="199" customWidth="1"/>
    <col min="1814" max="1814" width="11.28515625" style="199" customWidth="1"/>
    <col min="1815" max="1822" width="0" style="199" hidden="1" customWidth="1"/>
    <col min="1823" max="2048" width="10.28515625" style="199"/>
    <col min="2049" max="2049" width="5.5703125" style="199" customWidth="1"/>
    <col min="2050" max="2050" width="21.5703125" style="199" customWidth="1"/>
    <col min="2051" max="2051" width="7.7109375" style="199" customWidth="1"/>
    <col min="2052" max="2052" width="8.140625" style="199" customWidth="1"/>
    <col min="2053" max="2053" width="7.140625" style="199" customWidth="1"/>
    <col min="2054" max="2054" width="6.7109375" style="199" customWidth="1"/>
    <col min="2055" max="2055" width="5" style="199" customWidth="1"/>
    <col min="2056" max="2056" width="7.42578125" style="199" customWidth="1"/>
    <col min="2057" max="2057" width="6.28515625" style="199" customWidth="1"/>
    <col min="2058" max="2058" width="10.140625" style="199" customWidth="1"/>
    <col min="2059" max="2059" width="13.42578125" style="199" customWidth="1"/>
    <col min="2060" max="2060" width="14.5703125" style="199" customWidth="1"/>
    <col min="2061" max="2061" width="11.42578125" style="199" customWidth="1"/>
    <col min="2062" max="2062" width="12.85546875" style="199" customWidth="1"/>
    <col min="2063" max="2063" width="11.28515625" style="199" customWidth="1"/>
    <col min="2064" max="2064" width="16.28515625" style="199" customWidth="1"/>
    <col min="2065" max="2065" width="12.140625" style="199" customWidth="1"/>
    <col min="2066" max="2066" width="0" style="199" hidden="1" customWidth="1"/>
    <col min="2067" max="2067" width="12.140625" style="199" customWidth="1"/>
    <col min="2068" max="2068" width="10.85546875" style="199" customWidth="1"/>
    <col min="2069" max="2069" width="11.42578125" style="199" customWidth="1"/>
    <col min="2070" max="2070" width="11.28515625" style="199" customWidth="1"/>
    <col min="2071" max="2078" width="0" style="199" hidden="1" customWidth="1"/>
    <col min="2079" max="2304" width="10.28515625" style="199"/>
    <col min="2305" max="2305" width="5.5703125" style="199" customWidth="1"/>
    <col min="2306" max="2306" width="21.5703125" style="199" customWidth="1"/>
    <col min="2307" max="2307" width="7.7109375" style="199" customWidth="1"/>
    <col min="2308" max="2308" width="8.140625" style="199" customWidth="1"/>
    <col min="2309" max="2309" width="7.140625" style="199" customWidth="1"/>
    <col min="2310" max="2310" width="6.7109375" style="199" customWidth="1"/>
    <col min="2311" max="2311" width="5" style="199" customWidth="1"/>
    <col min="2312" max="2312" width="7.42578125" style="199" customWidth="1"/>
    <col min="2313" max="2313" width="6.28515625" style="199" customWidth="1"/>
    <col min="2314" max="2314" width="10.140625" style="199" customWidth="1"/>
    <col min="2315" max="2315" width="13.42578125" style="199" customWidth="1"/>
    <col min="2316" max="2316" width="14.5703125" style="199" customWidth="1"/>
    <col min="2317" max="2317" width="11.42578125" style="199" customWidth="1"/>
    <col min="2318" max="2318" width="12.85546875" style="199" customWidth="1"/>
    <col min="2319" max="2319" width="11.28515625" style="199" customWidth="1"/>
    <col min="2320" max="2320" width="16.28515625" style="199" customWidth="1"/>
    <col min="2321" max="2321" width="12.140625" style="199" customWidth="1"/>
    <col min="2322" max="2322" width="0" style="199" hidden="1" customWidth="1"/>
    <col min="2323" max="2323" width="12.140625" style="199" customWidth="1"/>
    <col min="2324" max="2324" width="10.85546875" style="199" customWidth="1"/>
    <col min="2325" max="2325" width="11.42578125" style="199" customWidth="1"/>
    <col min="2326" max="2326" width="11.28515625" style="199" customWidth="1"/>
    <col min="2327" max="2334" width="0" style="199" hidden="1" customWidth="1"/>
    <col min="2335" max="2560" width="10.28515625" style="199"/>
    <col min="2561" max="2561" width="5.5703125" style="199" customWidth="1"/>
    <col min="2562" max="2562" width="21.5703125" style="199" customWidth="1"/>
    <col min="2563" max="2563" width="7.7109375" style="199" customWidth="1"/>
    <col min="2564" max="2564" width="8.140625" style="199" customWidth="1"/>
    <col min="2565" max="2565" width="7.140625" style="199" customWidth="1"/>
    <col min="2566" max="2566" width="6.7109375" style="199" customWidth="1"/>
    <col min="2567" max="2567" width="5" style="199" customWidth="1"/>
    <col min="2568" max="2568" width="7.42578125" style="199" customWidth="1"/>
    <col min="2569" max="2569" width="6.28515625" style="199" customWidth="1"/>
    <col min="2570" max="2570" width="10.140625" style="199" customWidth="1"/>
    <col min="2571" max="2571" width="13.42578125" style="199" customWidth="1"/>
    <col min="2572" max="2572" width="14.5703125" style="199" customWidth="1"/>
    <col min="2573" max="2573" width="11.42578125" style="199" customWidth="1"/>
    <col min="2574" max="2574" width="12.85546875" style="199" customWidth="1"/>
    <col min="2575" max="2575" width="11.28515625" style="199" customWidth="1"/>
    <col min="2576" max="2576" width="16.28515625" style="199" customWidth="1"/>
    <col min="2577" max="2577" width="12.140625" style="199" customWidth="1"/>
    <col min="2578" max="2578" width="0" style="199" hidden="1" customWidth="1"/>
    <col min="2579" max="2579" width="12.140625" style="199" customWidth="1"/>
    <col min="2580" max="2580" width="10.85546875" style="199" customWidth="1"/>
    <col min="2581" max="2581" width="11.42578125" style="199" customWidth="1"/>
    <col min="2582" max="2582" width="11.28515625" style="199" customWidth="1"/>
    <col min="2583" max="2590" width="0" style="199" hidden="1" customWidth="1"/>
    <col min="2591" max="2816" width="10.28515625" style="199"/>
    <col min="2817" max="2817" width="5.5703125" style="199" customWidth="1"/>
    <col min="2818" max="2818" width="21.5703125" style="199" customWidth="1"/>
    <col min="2819" max="2819" width="7.7109375" style="199" customWidth="1"/>
    <col min="2820" max="2820" width="8.140625" style="199" customWidth="1"/>
    <col min="2821" max="2821" width="7.140625" style="199" customWidth="1"/>
    <col min="2822" max="2822" width="6.7109375" style="199" customWidth="1"/>
    <col min="2823" max="2823" width="5" style="199" customWidth="1"/>
    <col min="2824" max="2824" width="7.42578125" style="199" customWidth="1"/>
    <col min="2825" max="2825" width="6.28515625" style="199" customWidth="1"/>
    <col min="2826" max="2826" width="10.140625" style="199" customWidth="1"/>
    <col min="2827" max="2827" width="13.42578125" style="199" customWidth="1"/>
    <col min="2828" max="2828" width="14.5703125" style="199" customWidth="1"/>
    <col min="2829" max="2829" width="11.42578125" style="199" customWidth="1"/>
    <col min="2830" max="2830" width="12.85546875" style="199" customWidth="1"/>
    <col min="2831" max="2831" width="11.28515625" style="199" customWidth="1"/>
    <col min="2832" max="2832" width="16.28515625" style="199" customWidth="1"/>
    <col min="2833" max="2833" width="12.140625" style="199" customWidth="1"/>
    <col min="2834" max="2834" width="0" style="199" hidden="1" customWidth="1"/>
    <col min="2835" max="2835" width="12.140625" style="199" customWidth="1"/>
    <col min="2836" max="2836" width="10.85546875" style="199" customWidth="1"/>
    <col min="2837" max="2837" width="11.42578125" style="199" customWidth="1"/>
    <col min="2838" max="2838" width="11.28515625" style="199" customWidth="1"/>
    <col min="2839" max="2846" width="0" style="199" hidden="1" customWidth="1"/>
    <col min="2847" max="3072" width="10.28515625" style="199"/>
    <col min="3073" max="3073" width="5.5703125" style="199" customWidth="1"/>
    <col min="3074" max="3074" width="21.5703125" style="199" customWidth="1"/>
    <col min="3075" max="3075" width="7.7109375" style="199" customWidth="1"/>
    <col min="3076" max="3076" width="8.140625" style="199" customWidth="1"/>
    <col min="3077" max="3077" width="7.140625" style="199" customWidth="1"/>
    <col min="3078" max="3078" width="6.7109375" style="199" customWidth="1"/>
    <col min="3079" max="3079" width="5" style="199" customWidth="1"/>
    <col min="3080" max="3080" width="7.42578125" style="199" customWidth="1"/>
    <col min="3081" max="3081" width="6.28515625" style="199" customWidth="1"/>
    <col min="3082" max="3082" width="10.140625" style="199" customWidth="1"/>
    <col min="3083" max="3083" width="13.42578125" style="199" customWidth="1"/>
    <col min="3084" max="3084" width="14.5703125" style="199" customWidth="1"/>
    <col min="3085" max="3085" width="11.42578125" style="199" customWidth="1"/>
    <col min="3086" max="3086" width="12.85546875" style="199" customWidth="1"/>
    <col min="3087" max="3087" width="11.28515625" style="199" customWidth="1"/>
    <col min="3088" max="3088" width="16.28515625" style="199" customWidth="1"/>
    <col min="3089" max="3089" width="12.140625" style="199" customWidth="1"/>
    <col min="3090" max="3090" width="0" style="199" hidden="1" customWidth="1"/>
    <col min="3091" max="3091" width="12.140625" style="199" customWidth="1"/>
    <col min="3092" max="3092" width="10.85546875" style="199" customWidth="1"/>
    <col min="3093" max="3093" width="11.42578125" style="199" customWidth="1"/>
    <col min="3094" max="3094" width="11.28515625" style="199" customWidth="1"/>
    <col min="3095" max="3102" width="0" style="199" hidden="1" customWidth="1"/>
    <col min="3103" max="3328" width="10.28515625" style="199"/>
    <col min="3329" max="3329" width="5.5703125" style="199" customWidth="1"/>
    <col min="3330" max="3330" width="21.5703125" style="199" customWidth="1"/>
    <col min="3331" max="3331" width="7.7109375" style="199" customWidth="1"/>
    <col min="3332" max="3332" width="8.140625" style="199" customWidth="1"/>
    <col min="3333" max="3333" width="7.140625" style="199" customWidth="1"/>
    <col min="3334" max="3334" width="6.7109375" style="199" customWidth="1"/>
    <col min="3335" max="3335" width="5" style="199" customWidth="1"/>
    <col min="3336" max="3336" width="7.42578125" style="199" customWidth="1"/>
    <col min="3337" max="3337" width="6.28515625" style="199" customWidth="1"/>
    <col min="3338" max="3338" width="10.140625" style="199" customWidth="1"/>
    <col min="3339" max="3339" width="13.42578125" style="199" customWidth="1"/>
    <col min="3340" max="3340" width="14.5703125" style="199" customWidth="1"/>
    <col min="3341" max="3341" width="11.42578125" style="199" customWidth="1"/>
    <col min="3342" max="3342" width="12.85546875" style="199" customWidth="1"/>
    <col min="3343" max="3343" width="11.28515625" style="199" customWidth="1"/>
    <col min="3344" max="3344" width="16.28515625" style="199" customWidth="1"/>
    <col min="3345" max="3345" width="12.140625" style="199" customWidth="1"/>
    <col min="3346" max="3346" width="0" style="199" hidden="1" customWidth="1"/>
    <col min="3347" max="3347" width="12.140625" style="199" customWidth="1"/>
    <col min="3348" max="3348" width="10.85546875" style="199" customWidth="1"/>
    <col min="3349" max="3349" width="11.42578125" style="199" customWidth="1"/>
    <col min="3350" max="3350" width="11.28515625" style="199" customWidth="1"/>
    <col min="3351" max="3358" width="0" style="199" hidden="1" customWidth="1"/>
    <col min="3359" max="3584" width="10.28515625" style="199"/>
    <col min="3585" max="3585" width="5.5703125" style="199" customWidth="1"/>
    <col min="3586" max="3586" width="21.5703125" style="199" customWidth="1"/>
    <col min="3587" max="3587" width="7.7109375" style="199" customWidth="1"/>
    <col min="3588" max="3588" width="8.140625" style="199" customWidth="1"/>
    <col min="3589" max="3589" width="7.140625" style="199" customWidth="1"/>
    <col min="3590" max="3590" width="6.7109375" style="199" customWidth="1"/>
    <col min="3591" max="3591" width="5" style="199" customWidth="1"/>
    <col min="3592" max="3592" width="7.42578125" style="199" customWidth="1"/>
    <col min="3593" max="3593" width="6.28515625" style="199" customWidth="1"/>
    <col min="3594" max="3594" width="10.140625" style="199" customWidth="1"/>
    <col min="3595" max="3595" width="13.42578125" style="199" customWidth="1"/>
    <col min="3596" max="3596" width="14.5703125" style="199" customWidth="1"/>
    <col min="3597" max="3597" width="11.42578125" style="199" customWidth="1"/>
    <col min="3598" max="3598" width="12.85546875" style="199" customWidth="1"/>
    <col min="3599" max="3599" width="11.28515625" style="199" customWidth="1"/>
    <col min="3600" max="3600" width="16.28515625" style="199" customWidth="1"/>
    <col min="3601" max="3601" width="12.140625" style="199" customWidth="1"/>
    <col min="3602" max="3602" width="0" style="199" hidden="1" customWidth="1"/>
    <col min="3603" max="3603" width="12.140625" style="199" customWidth="1"/>
    <col min="3604" max="3604" width="10.85546875" style="199" customWidth="1"/>
    <col min="3605" max="3605" width="11.42578125" style="199" customWidth="1"/>
    <col min="3606" max="3606" width="11.28515625" style="199" customWidth="1"/>
    <col min="3607" max="3614" width="0" style="199" hidden="1" customWidth="1"/>
    <col min="3615" max="3840" width="10.28515625" style="199"/>
    <col min="3841" max="3841" width="5.5703125" style="199" customWidth="1"/>
    <col min="3842" max="3842" width="21.5703125" style="199" customWidth="1"/>
    <col min="3843" max="3843" width="7.7109375" style="199" customWidth="1"/>
    <col min="3844" max="3844" width="8.140625" style="199" customWidth="1"/>
    <col min="3845" max="3845" width="7.140625" style="199" customWidth="1"/>
    <col min="3846" max="3846" width="6.7109375" style="199" customWidth="1"/>
    <col min="3847" max="3847" width="5" style="199" customWidth="1"/>
    <col min="3848" max="3848" width="7.42578125" style="199" customWidth="1"/>
    <col min="3849" max="3849" width="6.28515625" style="199" customWidth="1"/>
    <col min="3850" max="3850" width="10.140625" style="199" customWidth="1"/>
    <col min="3851" max="3851" width="13.42578125" style="199" customWidth="1"/>
    <col min="3852" max="3852" width="14.5703125" style="199" customWidth="1"/>
    <col min="3853" max="3853" width="11.42578125" style="199" customWidth="1"/>
    <col min="3854" max="3854" width="12.85546875" style="199" customWidth="1"/>
    <col min="3855" max="3855" width="11.28515625" style="199" customWidth="1"/>
    <col min="3856" max="3856" width="16.28515625" style="199" customWidth="1"/>
    <col min="3857" max="3857" width="12.140625" style="199" customWidth="1"/>
    <col min="3858" max="3858" width="0" style="199" hidden="1" customWidth="1"/>
    <col min="3859" max="3859" width="12.140625" style="199" customWidth="1"/>
    <col min="3860" max="3860" width="10.85546875" style="199" customWidth="1"/>
    <col min="3861" max="3861" width="11.42578125" style="199" customWidth="1"/>
    <col min="3862" max="3862" width="11.28515625" style="199" customWidth="1"/>
    <col min="3863" max="3870" width="0" style="199" hidden="1" customWidth="1"/>
    <col min="3871" max="4096" width="10.28515625" style="199"/>
    <col min="4097" max="4097" width="5.5703125" style="199" customWidth="1"/>
    <col min="4098" max="4098" width="21.5703125" style="199" customWidth="1"/>
    <col min="4099" max="4099" width="7.7109375" style="199" customWidth="1"/>
    <col min="4100" max="4100" width="8.140625" style="199" customWidth="1"/>
    <col min="4101" max="4101" width="7.140625" style="199" customWidth="1"/>
    <col min="4102" max="4102" width="6.7109375" style="199" customWidth="1"/>
    <col min="4103" max="4103" width="5" style="199" customWidth="1"/>
    <col min="4104" max="4104" width="7.42578125" style="199" customWidth="1"/>
    <col min="4105" max="4105" width="6.28515625" style="199" customWidth="1"/>
    <col min="4106" max="4106" width="10.140625" style="199" customWidth="1"/>
    <col min="4107" max="4107" width="13.42578125" style="199" customWidth="1"/>
    <col min="4108" max="4108" width="14.5703125" style="199" customWidth="1"/>
    <col min="4109" max="4109" width="11.42578125" style="199" customWidth="1"/>
    <col min="4110" max="4110" width="12.85546875" style="199" customWidth="1"/>
    <col min="4111" max="4111" width="11.28515625" style="199" customWidth="1"/>
    <col min="4112" max="4112" width="16.28515625" style="199" customWidth="1"/>
    <col min="4113" max="4113" width="12.140625" style="199" customWidth="1"/>
    <col min="4114" max="4114" width="0" style="199" hidden="1" customWidth="1"/>
    <col min="4115" max="4115" width="12.140625" style="199" customWidth="1"/>
    <col min="4116" max="4116" width="10.85546875" style="199" customWidth="1"/>
    <col min="4117" max="4117" width="11.42578125" style="199" customWidth="1"/>
    <col min="4118" max="4118" width="11.28515625" style="199" customWidth="1"/>
    <col min="4119" max="4126" width="0" style="199" hidden="1" customWidth="1"/>
    <col min="4127" max="4352" width="10.28515625" style="199"/>
    <col min="4353" max="4353" width="5.5703125" style="199" customWidth="1"/>
    <col min="4354" max="4354" width="21.5703125" style="199" customWidth="1"/>
    <col min="4355" max="4355" width="7.7109375" style="199" customWidth="1"/>
    <col min="4356" max="4356" width="8.140625" style="199" customWidth="1"/>
    <col min="4357" max="4357" width="7.140625" style="199" customWidth="1"/>
    <col min="4358" max="4358" width="6.7109375" style="199" customWidth="1"/>
    <col min="4359" max="4359" width="5" style="199" customWidth="1"/>
    <col min="4360" max="4360" width="7.42578125" style="199" customWidth="1"/>
    <col min="4361" max="4361" width="6.28515625" style="199" customWidth="1"/>
    <col min="4362" max="4362" width="10.140625" style="199" customWidth="1"/>
    <col min="4363" max="4363" width="13.42578125" style="199" customWidth="1"/>
    <col min="4364" max="4364" width="14.5703125" style="199" customWidth="1"/>
    <col min="4365" max="4365" width="11.42578125" style="199" customWidth="1"/>
    <col min="4366" max="4366" width="12.85546875" style="199" customWidth="1"/>
    <col min="4367" max="4367" width="11.28515625" style="199" customWidth="1"/>
    <col min="4368" max="4368" width="16.28515625" style="199" customWidth="1"/>
    <col min="4369" max="4369" width="12.140625" style="199" customWidth="1"/>
    <col min="4370" max="4370" width="0" style="199" hidden="1" customWidth="1"/>
    <col min="4371" max="4371" width="12.140625" style="199" customWidth="1"/>
    <col min="4372" max="4372" width="10.85546875" style="199" customWidth="1"/>
    <col min="4373" max="4373" width="11.42578125" style="199" customWidth="1"/>
    <col min="4374" max="4374" width="11.28515625" style="199" customWidth="1"/>
    <col min="4375" max="4382" width="0" style="199" hidden="1" customWidth="1"/>
    <col min="4383" max="4608" width="10.28515625" style="199"/>
    <col min="4609" max="4609" width="5.5703125" style="199" customWidth="1"/>
    <col min="4610" max="4610" width="21.5703125" style="199" customWidth="1"/>
    <col min="4611" max="4611" width="7.7109375" style="199" customWidth="1"/>
    <col min="4612" max="4612" width="8.140625" style="199" customWidth="1"/>
    <col min="4613" max="4613" width="7.140625" style="199" customWidth="1"/>
    <col min="4614" max="4614" width="6.7109375" style="199" customWidth="1"/>
    <col min="4615" max="4615" width="5" style="199" customWidth="1"/>
    <col min="4616" max="4616" width="7.42578125" style="199" customWidth="1"/>
    <col min="4617" max="4617" width="6.28515625" style="199" customWidth="1"/>
    <col min="4618" max="4618" width="10.140625" style="199" customWidth="1"/>
    <col min="4619" max="4619" width="13.42578125" style="199" customWidth="1"/>
    <col min="4620" max="4620" width="14.5703125" style="199" customWidth="1"/>
    <col min="4621" max="4621" width="11.42578125" style="199" customWidth="1"/>
    <col min="4622" max="4622" width="12.85546875" style="199" customWidth="1"/>
    <col min="4623" max="4623" width="11.28515625" style="199" customWidth="1"/>
    <col min="4624" max="4624" width="16.28515625" style="199" customWidth="1"/>
    <col min="4625" max="4625" width="12.140625" style="199" customWidth="1"/>
    <col min="4626" max="4626" width="0" style="199" hidden="1" customWidth="1"/>
    <col min="4627" max="4627" width="12.140625" style="199" customWidth="1"/>
    <col min="4628" max="4628" width="10.85546875" style="199" customWidth="1"/>
    <col min="4629" max="4629" width="11.42578125" style="199" customWidth="1"/>
    <col min="4630" max="4630" width="11.28515625" style="199" customWidth="1"/>
    <col min="4631" max="4638" width="0" style="199" hidden="1" customWidth="1"/>
    <col min="4639" max="4864" width="10.28515625" style="199"/>
    <col min="4865" max="4865" width="5.5703125" style="199" customWidth="1"/>
    <col min="4866" max="4866" width="21.5703125" style="199" customWidth="1"/>
    <col min="4867" max="4867" width="7.7109375" style="199" customWidth="1"/>
    <col min="4868" max="4868" width="8.140625" style="199" customWidth="1"/>
    <col min="4869" max="4869" width="7.140625" style="199" customWidth="1"/>
    <col min="4870" max="4870" width="6.7109375" style="199" customWidth="1"/>
    <col min="4871" max="4871" width="5" style="199" customWidth="1"/>
    <col min="4872" max="4872" width="7.42578125" style="199" customWidth="1"/>
    <col min="4873" max="4873" width="6.28515625" style="199" customWidth="1"/>
    <col min="4874" max="4874" width="10.140625" style="199" customWidth="1"/>
    <col min="4875" max="4875" width="13.42578125" style="199" customWidth="1"/>
    <col min="4876" max="4876" width="14.5703125" style="199" customWidth="1"/>
    <col min="4877" max="4877" width="11.42578125" style="199" customWidth="1"/>
    <col min="4878" max="4878" width="12.85546875" style="199" customWidth="1"/>
    <col min="4879" max="4879" width="11.28515625" style="199" customWidth="1"/>
    <col min="4880" max="4880" width="16.28515625" style="199" customWidth="1"/>
    <col min="4881" max="4881" width="12.140625" style="199" customWidth="1"/>
    <col min="4882" max="4882" width="0" style="199" hidden="1" customWidth="1"/>
    <col min="4883" max="4883" width="12.140625" style="199" customWidth="1"/>
    <col min="4884" max="4884" width="10.85546875" style="199" customWidth="1"/>
    <col min="4885" max="4885" width="11.42578125" style="199" customWidth="1"/>
    <col min="4886" max="4886" width="11.28515625" style="199" customWidth="1"/>
    <col min="4887" max="4894" width="0" style="199" hidden="1" customWidth="1"/>
    <col min="4895" max="5120" width="10.28515625" style="199"/>
    <col min="5121" max="5121" width="5.5703125" style="199" customWidth="1"/>
    <col min="5122" max="5122" width="21.5703125" style="199" customWidth="1"/>
    <col min="5123" max="5123" width="7.7109375" style="199" customWidth="1"/>
    <col min="5124" max="5124" width="8.140625" style="199" customWidth="1"/>
    <col min="5125" max="5125" width="7.140625" style="199" customWidth="1"/>
    <col min="5126" max="5126" width="6.7109375" style="199" customWidth="1"/>
    <col min="5127" max="5127" width="5" style="199" customWidth="1"/>
    <col min="5128" max="5128" width="7.42578125" style="199" customWidth="1"/>
    <col min="5129" max="5129" width="6.28515625" style="199" customWidth="1"/>
    <col min="5130" max="5130" width="10.140625" style="199" customWidth="1"/>
    <col min="5131" max="5131" width="13.42578125" style="199" customWidth="1"/>
    <col min="5132" max="5132" width="14.5703125" style="199" customWidth="1"/>
    <col min="5133" max="5133" width="11.42578125" style="199" customWidth="1"/>
    <col min="5134" max="5134" width="12.85546875" style="199" customWidth="1"/>
    <col min="5135" max="5135" width="11.28515625" style="199" customWidth="1"/>
    <col min="5136" max="5136" width="16.28515625" style="199" customWidth="1"/>
    <col min="5137" max="5137" width="12.140625" style="199" customWidth="1"/>
    <col min="5138" max="5138" width="0" style="199" hidden="1" customWidth="1"/>
    <col min="5139" max="5139" width="12.140625" style="199" customWidth="1"/>
    <col min="5140" max="5140" width="10.85546875" style="199" customWidth="1"/>
    <col min="5141" max="5141" width="11.42578125" style="199" customWidth="1"/>
    <col min="5142" max="5142" width="11.28515625" style="199" customWidth="1"/>
    <col min="5143" max="5150" width="0" style="199" hidden="1" customWidth="1"/>
    <col min="5151" max="5376" width="10.28515625" style="199"/>
    <col min="5377" max="5377" width="5.5703125" style="199" customWidth="1"/>
    <col min="5378" max="5378" width="21.5703125" style="199" customWidth="1"/>
    <col min="5379" max="5379" width="7.7109375" style="199" customWidth="1"/>
    <col min="5380" max="5380" width="8.140625" style="199" customWidth="1"/>
    <col min="5381" max="5381" width="7.140625" style="199" customWidth="1"/>
    <col min="5382" max="5382" width="6.7109375" style="199" customWidth="1"/>
    <col min="5383" max="5383" width="5" style="199" customWidth="1"/>
    <col min="5384" max="5384" width="7.42578125" style="199" customWidth="1"/>
    <col min="5385" max="5385" width="6.28515625" style="199" customWidth="1"/>
    <col min="5386" max="5386" width="10.140625" style="199" customWidth="1"/>
    <col min="5387" max="5387" width="13.42578125" style="199" customWidth="1"/>
    <col min="5388" max="5388" width="14.5703125" style="199" customWidth="1"/>
    <col min="5389" max="5389" width="11.42578125" style="199" customWidth="1"/>
    <col min="5390" max="5390" width="12.85546875" style="199" customWidth="1"/>
    <col min="5391" max="5391" width="11.28515625" style="199" customWidth="1"/>
    <col min="5392" max="5392" width="16.28515625" style="199" customWidth="1"/>
    <col min="5393" max="5393" width="12.140625" style="199" customWidth="1"/>
    <col min="5394" max="5394" width="0" style="199" hidden="1" customWidth="1"/>
    <col min="5395" max="5395" width="12.140625" style="199" customWidth="1"/>
    <col min="5396" max="5396" width="10.85546875" style="199" customWidth="1"/>
    <col min="5397" max="5397" width="11.42578125" style="199" customWidth="1"/>
    <col min="5398" max="5398" width="11.28515625" style="199" customWidth="1"/>
    <col min="5399" max="5406" width="0" style="199" hidden="1" customWidth="1"/>
    <col min="5407" max="5632" width="10.28515625" style="199"/>
    <col min="5633" max="5633" width="5.5703125" style="199" customWidth="1"/>
    <col min="5634" max="5634" width="21.5703125" style="199" customWidth="1"/>
    <col min="5635" max="5635" width="7.7109375" style="199" customWidth="1"/>
    <col min="5636" max="5636" width="8.140625" style="199" customWidth="1"/>
    <col min="5637" max="5637" width="7.140625" style="199" customWidth="1"/>
    <col min="5638" max="5638" width="6.7109375" style="199" customWidth="1"/>
    <col min="5639" max="5639" width="5" style="199" customWidth="1"/>
    <col min="5640" max="5640" width="7.42578125" style="199" customWidth="1"/>
    <col min="5641" max="5641" width="6.28515625" style="199" customWidth="1"/>
    <col min="5642" max="5642" width="10.140625" style="199" customWidth="1"/>
    <col min="5643" max="5643" width="13.42578125" style="199" customWidth="1"/>
    <col min="5644" max="5644" width="14.5703125" style="199" customWidth="1"/>
    <col min="5645" max="5645" width="11.42578125" style="199" customWidth="1"/>
    <col min="5646" max="5646" width="12.85546875" style="199" customWidth="1"/>
    <col min="5647" max="5647" width="11.28515625" style="199" customWidth="1"/>
    <col min="5648" max="5648" width="16.28515625" style="199" customWidth="1"/>
    <col min="5649" max="5649" width="12.140625" style="199" customWidth="1"/>
    <col min="5650" max="5650" width="0" style="199" hidden="1" customWidth="1"/>
    <col min="5651" max="5651" width="12.140625" style="199" customWidth="1"/>
    <col min="5652" max="5652" width="10.85546875" style="199" customWidth="1"/>
    <col min="5653" max="5653" width="11.42578125" style="199" customWidth="1"/>
    <col min="5654" max="5654" width="11.28515625" style="199" customWidth="1"/>
    <col min="5655" max="5662" width="0" style="199" hidden="1" customWidth="1"/>
    <col min="5663" max="5888" width="10.28515625" style="199"/>
    <col min="5889" max="5889" width="5.5703125" style="199" customWidth="1"/>
    <col min="5890" max="5890" width="21.5703125" style="199" customWidth="1"/>
    <col min="5891" max="5891" width="7.7109375" style="199" customWidth="1"/>
    <col min="5892" max="5892" width="8.140625" style="199" customWidth="1"/>
    <col min="5893" max="5893" width="7.140625" style="199" customWidth="1"/>
    <col min="5894" max="5894" width="6.7109375" style="199" customWidth="1"/>
    <col min="5895" max="5895" width="5" style="199" customWidth="1"/>
    <col min="5896" max="5896" width="7.42578125" style="199" customWidth="1"/>
    <col min="5897" max="5897" width="6.28515625" style="199" customWidth="1"/>
    <col min="5898" max="5898" width="10.140625" style="199" customWidth="1"/>
    <col min="5899" max="5899" width="13.42578125" style="199" customWidth="1"/>
    <col min="5900" max="5900" width="14.5703125" style="199" customWidth="1"/>
    <col min="5901" max="5901" width="11.42578125" style="199" customWidth="1"/>
    <col min="5902" max="5902" width="12.85546875" style="199" customWidth="1"/>
    <col min="5903" max="5903" width="11.28515625" style="199" customWidth="1"/>
    <col min="5904" max="5904" width="16.28515625" style="199" customWidth="1"/>
    <col min="5905" max="5905" width="12.140625" style="199" customWidth="1"/>
    <col min="5906" max="5906" width="0" style="199" hidden="1" customWidth="1"/>
    <col min="5907" max="5907" width="12.140625" style="199" customWidth="1"/>
    <col min="5908" max="5908" width="10.85546875" style="199" customWidth="1"/>
    <col min="5909" max="5909" width="11.42578125" style="199" customWidth="1"/>
    <col min="5910" max="5910" width="11.28515625" style="199" customWidth="1"/>
    <col min="5911" max="5918" width="0" style="199" hidden="1" customWidth="1"/>
    <col min="5919" max="6144" width="10.28515625" style="199"/>
    <col min="6145" max="6145" width="5.5703125" style="199" customWidth="1"/>
    <col min="6146" max="6146" width="21.5703125" style="199" customWidth="1"/>
    <col min="6147" max="6147" width="7.7109375" style="199" customWidth="1"/>
    <col min="6148" max="6148" width="8.140625" style="199" customWidth="1"/>
    <col min="6149" max="6149" width="7.140625" style="199" customWidth="1"/>
    <col min="6150" max="6150" width="6.7109375" style="199" customWidth="1"/>
    <col min="6151" max="6151" width="5" style="199" customWidth="1"/>
    <col min="6152" max="6152" width="7.42578125" style="199" customWidth="1"/>
    <col min="6153" max="6153" width="6.28515625" style="199" customWidth="1"/>
    <col min="6154" max="6154" width="10.140625" style="199" customWidth="1"/>
    <col min="6155" max="6155" width="13.42578125" style="199" customWidth="1"/>
    <col min="6156" max="6156" width="14.5703125" style="199" customWidth="1"/>
    <col min="6157" max="6157" width="11.42578125" style="199" customWidth="1"/>
    <col min="6158" max="6158" width="12.85546875" style="199" customWidth="1"/>
    <col min="6159" max="6159" width="11.28515625" style="199" customWidth="1"/>
    <col min="6160" max="6160" width="16.28515625" style="199" customWidth="1"/>
    <col min="6161" max="6161" width="12.140625" style="199" customWidth="1"/>
    <col min="6162" max="6162" width="0" style="199" hidden="1" customWidth="1"/>
    <col min="6163" max="6163" width="12.140625" style="199" customWidth="1"/>
    <col min="6164" max="6164" width="10.85546875" style="199" customWidth="1"/>
    <col min="6165" max="6165" width="11.42578125" style="199" customWidth="1"/>
    <col min="6166" max="6166" width="11.28515625" style="199" customWidth="1"/>
    <col min="6167" max="6174" width="0" style="199" hidden="1" customWidth="1"/>
    <col min="6175" max="6400" width="10.28515625" style="199"/>
    <col min="6401" max="6401" width="5.5703125" style="199" customWidth="1"/>
    <col min="6402" max="6402" width="21.5703125" style="199" customWidth="1"/>
    <col min="6403" max="6403" width="7.7109375" style="199" customWidth="1"/>
    <col min="6404" max="6404" width="8.140625" style="199" customWidth="1"/>
    <col min="6405" max="6405" width="7.140625" style="199" customWidth="1"/>
    <col min="6406" max="6406" width="6.7109375" style="199" customWidth="1"/>
    <col min="6407" max="6407" width="5" style="199" customWidth="1"/>
    <col min="6408" max="6408" width="7.42578125" style="199" customWidth="1"/>
    <col min="6409" max="6409" width="6.28515625" style="199" customWidth="1"/>
    <col min="6410" max="6410" width="10.140625" style="199" customWidth="1"/>
    <col min="6411" max="6411" width="13.42578125" style="199" customWidth="1"/>
    <col min="6412" max="6412" width="14.5703125" style="199" customWidth="1"/>
    <col min="6413" max="6413" width="11.42578125" style="199" customWidth="1"/>
    <col min="6414" max="6414" width="12.85546875" style="199" customWidth="1"/>
    <col min="6415" max="6415" width="11.28515625" style="199" customWidth="1"/>
    <col min="6416" max="6416" width="16.28515625" style="199" customWidth="1"/>
    <col min="6417" max="6417" width="12.140625" style="199" customWidth="1"/>
    <col min="6418" max="6418" width="0" style="199" hidden="1" customWidth="1"/>
    <col min="6419" max="6419" width="12.140625" style="199" customWidth="1"/>
    <col min="6420" max="6420" width="10.85546875" style="199" customWidth="1"/>
    <col min="6421" max="6421" width="11.42578125" style="199" customWidth="1"/>
    <col min="6422" max="6422" width="11.28515625" style="199" customWidth="1"/>
    <col min="6423" max="6430" width="0" style="199" hidden="1" customWidth="1"/>
    <col min="6431" max="6656" width="10.28515625" style="199"/>
    <col min="6657" max="6657" width="5.5703125" style="199" customWidth="1"/>
    <col min="6658" max="6658" width="21.5703125" style="199" customWidth="1"/>
    <col min="6659" max="6659" width="7.7109375" style="199" customWidth="1"/>
    <col min="6660" max="6660" width="8.140625" style="199" customWidth="1"/>
    <col min="6661" max="6661" width="7.140625" style="199" customWidth="1"/>
    <col min="6662" max="6662" width="6.7109375" style="199" customWidth="1"/>
    <col min="6663" max="6663" width="5" style="199" customWidth="1"/>
    <col min="6664" max="6664" width="7.42578125" style="199" customWidth="1"/>
    <col min="6665" max="6665" width="6.28515625" style="199" customWidth="1"/>
    <col min="6666" max="6666" width="10.140625" style="199" customWidth="1"/>
    <col min="6667" max="6667" width="13.42578125" style="199" customWidth="1"/>
    <col min="6668" max="6668" width="14.5703125" style="199" customWidth="1"/>
    <col min="6669" max="6669" width="11.42578125" style="199" customWidth="1"/>
    <col min="6670" max="6670" width="12.85546875" style="199" customWidth="1"/>
    <col min="6671" max="6671" width="11.28515625" style="199" customWidth="1"/>
    <col min="6672" max="6672" width="16.28515625" style="199" customWidth="1"/>
    <col min="6673" max="6673" width="12.140625" style="199" customWidth="1"/>
    <col min="6674" max="6674" width="0" style="199" hidden="1" customWidth="1"/>
    <col min="6675" max="6675" width="12.140625" style="199" customWidth="1"/>
    <col min="6676" max="6676" width="10.85546875" style="199" customWidth="1"/>
    <col min="6677" max="6677" width="11.42578125" style="199" customWidth="1"/>
    <col min="6678" max="6678" width="11.28515625" style="199" customWidth="1"/>
    <col min="6679" max="6686" width="0" style="199" hidden="1" customWidth="1"/>
    <col min="6687" max="6912" width="10.28515625" style="199"/>
    <col min="6913" max="6913" width="5.5703125" style="199" customWidth="1"/>
    <col min="6914" max="6914" width="21.5703125" style="199" customWidth="1"/>
    <col min="6915" max="6915" width="7.7109375" style="199" customWidth="1"/>
    <col min="6916" max="6916" width="8.140625" style="199" customWidth="1"/>
    <col min="6917" max="6917" width="7.140625" style="199" customWidth="1"/>
    <col min="6918" max="6918" width="6.7109375" style="199" customWidth="1"/>
    <col min="6919" max="6919" width="5" style="199" customWidth="1"/>
    <col min="6920" max="6920" width="7.42578125" style="199" customWidth="1"/>
    <col min="6921" max="6921" width="6.28515625" style="199" customWidth="1"/>
    <col min="6922" max="6922" width="10.140625" style="199" customWidth="1"/>
    <col min="6923" max="6923" width="13.42578125" style="199" customWidth="1"/>
    <col min="6924" max="6924" width="14.5703125" style="199" customWidth="1"/>
    <col min="6925" max="6925" width="11.42578125" style="199" customWidth="1"/>
    <col min="6926" max="6926" width="12.85546875" style="199" customWidth="1"/>
    <col min="6927" max="6927" width="11.28515625" style="199" customWidth="1"/>
    <col min="6928" max="6928" width="16.28515625" style="199" customWidth="1"/>
    <col min="6929" max="6929" width="12.140625" style="199" customWidth="1"/>
    <col min="6930" max="6930" width="0" style="199" hidden="1" customWidth="1"/>
    <col min="6931" max="6931" width="12.140625" style="199" customWidth="1"/>
    <col min="6932" max="6932" width="10.85546875" style="199" customWidth="1"/>
    <col min="6933" max="6933" width="11.42578125" style="199" customWidth="1"/>
    <col min="6934" max="6934" width="11.28515625" style="199" customWidth="1"/>
    <col min="6935" max="6942" width="0" style="199" hidden="1" customWidth="1"/>
    <col min="6943" max="7168" width="10.28515625" style="199"/>
    <col min="7169" max="7169" width="5.5703125" style="199" customWidth="1"/>
    <col min="7170" max="7170" width="21.5703125" style="199" customWidth="1"/>
    <col min="7171" max="7171" width="7.7109375" style="199" customWidth="1"/>
    <col min="7172" max="7172" width="8.140625" style="199" customWidth="1"/>
    <col min="7173" max="7173" width="7.140625" style="199" customWidth="1"/>
    <col min="7174" max="7174" width="6.7109375" style="199" customWidth="1"/>
    <col min="7175" max="7175" width="5" style="199" customWidth="1"/>
    <col min="7176" max="7176" width="7.42578125" style="199" customWidth="1"/>
    <col min="7177" max="7177" width="6.28515625" style="199" customWidth="1"/>
    <col min="7178" max="7178" width="10.140625" style="199" customWidth="1"/>
    <col min="7179" max="7179" width="13.42578125" style="199" customWidth="1"/>
    <col min="7180" max="7180" width="14.5703125" style="199" customWidth="1"/>
    <col min="7181" max="7181" width="11.42578125" style="199" customWidth="1"/>
    <col min="7182" max="7182" width="12.85546875" style="199" customWidth="1"/>
    <col min="7183" max="7183" width="11.28515625" style="199" customWidth="1"/>
    <col min="7184" max="7184" width="16.28515625" style="199" customWidth="1"/>
    <col min="7185" max="7185" width="12.140625" style="199" customWidth="1"/>
    <col min="7186" max="7186" width="0" style="199" hidden="1" customWidth="1"/>
    <col min="7187" max="7187" width="12.140625" style="199" customWidth="1"/>
    <col min="7188" max="7188" width="10.85546875" style="199" customWidth="1"/>
    <col min="7189" max="7189" width="11.42578125" style="199" customWidth="1"/>
    <col min="7190" max="7190" width="11.28515625" style="199" customWidth="1"/>
    <col min="7191" max="7198" width="0" style="199" hidden="1" customWidth="1"/>
    <col min="7199" max="7424" width="10.28515625" style="199"/>
    <col min="7425" max="7425" width="5.5703125" style="199" customWidth="1"/>
    <col min="7426" max="7426" width="21.5703125" style="199" customWidth="1"/>
    <col min="7427" max="7427" width="7.7109375" style="199" customWidth="1"/>
    <col min="7428" max="7428" width="8.140625" style="199" customWidth="1"/>
    <col min="7429" max="7429" width="7.140625" style="199" customWidth="1"/>
    <col min="7430" max="7430" width="6.7109375" style="199" customWidth="1"/>
    <col min="7431" max="7431" width="5" style="199" customWidth="1"/>
    <col min="7432" max="7432" width="7.42578125" style="199" customWidth="1"/>
    <col min="7433" max="7433" width="6.28515625" style="199" customWidth="1"/>
    <col min="7434" max="7434" width="10.140625" style="199" customWidth="1"/>
    <col min="7435" max="7435" width="13.42578125" style="199" customWidth="1"/>
    <col min="7436" max="7436" width="14.5703125" style="199" customWidth="1"/>
    <col min="7437" max="7437" width="11.42578125" style="199" customWidth="1"/>
    <col min="7438" max="7438" width="12.85546875" style="199" customWidth="1"/>
    <col min="7439" max="7439" width="11.28515625" style="199" customWidth="1"/>
    <col min="7440" max="7440" width="16.28515625" style="199" customWidth="1"/>
    <col min="7441" max="7441" width="12.140625" style="199" customWidth="1"/>
    <col min="7442" max="7442" width="0" style="199" hidden="1" customWidth="1"/>
    <col min="7443" max="7443" width="12.140625" style="199" customWidth="1"/>
    <col min="7444" max="7444" width="10.85546875" style="199" customWidth="1"/>
    <col min="7445" max="7445" width="11.42578125" style="199" customWidth="1"/>
    <col min="7446" max="7446" width="11.28515625" style="199" customWidth="1"/>
    <col min="7447" max="7454" width="0" style="199" hidden="1" customWidth="1"/>
    <col min="7455" max="7680" width="10.28515625" style="199"/>
    <col min="7681" max="7681" width="5.5703125" style="199" customWidth="1"/>
    <col min="7682" max="7682" width="21.5703125" style="199" customWidth="1"/>
    <col min="7683" max="7683" width="7.7109375" style="199" customWidth="1"/>
    <col min="7684" max="7684" width="8.140625" style="199" customWidth="1"/>
    <col min="7685" max="7685" width="7.140625" style="199" customWidth="1"/>
    <col min="7686" max="7686" width="6.7109375" style="199" customWidth="1"/>
    <col min="7687" max="7687" width="5" style="199" customWidth="1"/>
    <col min="7688" max="7688" width="7.42578125" style="199" customWidth="1"/>
    <col min="7689" max="7689" width="6.28515625" style="199" customWidth="1"/>
    <col min="7690" max="7690" width="10.140625" style="199" customWidth="1"/>
    <col min="7691" max="7691" width="13.42578125" style="199" customWidth="1"/>
    <col min="7692" max="7692" width="14.5703125" style="199" customWidth="1"/>
    <col min="7693" max="7693" width="11.42578125" style="199" customWidth="1"/>
    <col min="7694" max="7694" width="12.85546875" style="199" customWidth="1"/>
    <col min="7695" max="7695" width="11.28515625" style="199" customWidth="1"/>
    <col min="7696" max="7696" width="16.28515625" style="199" customWidth="1"/>
    <col min="7697" max="7697" width="12.140625" style="199" customWidth="1"/>
    <col min="7698" max="7698" width="0" style="199" hidden="1" customWidth="1"/>
    <col min="7699" max="7699" width="12.140625" style="199" customWidth="1"/>
    <col min="7700" max="7700" width="10.85546875" style="199" customWidth="1"/>
    <col min="7701" max="7701" width="11.42578125" style="199" customWidth="1"/>
    <col min="7702" max="7702" width="11.28515625" style="199" customWidth="1"/>
    <col min="7703" max="7710" width="0" style="199" hidden="1" customWidth="1"/>
    <col min="7711" max="7936" width="10.28515625" style="199"/>
    <col min="7937" max="7937" width="5.5703125" style="199" customWidth="1"/>
    <col min="7938" max="7938" width="21.5703125" style="199" customWidth="1"/>
    <col min="7939" max="7939" width="7.7109375" style="199" customWidth="1"/>
    <col min="7940" max="7940" width="8.140625" style="199" customWidth="1"/>
    <col min="7941" max="7941" width="7.140625" style="199" customWidth="1"/>
    <col min="7942" max="7942" width="6.7109375" style="199" customWidth="1"/>
    <col min="7943" max="7943" width="5" style="199" customWidth="1"/>
    <col min="7944" max="7944" width="7.42578125" style="199" customWidth="1"/>
    <col min="7945" max="7945" width="6.28515625" style="199" customWidth="1"/>
    <col min="7946" max="7946" width="10.140625" style="199" customWidth="1"/>
    <col min="7947" max="7947" width="13.42578125" style="199" customWidth="1"/>
    <col min="7948" max="7948" width="14.5703125" style="199" customWidth="1"/>
    <col min="7949" max="7949" width="11.42578125" style="199" customWidth="1"/>
    <col min="7950" max="7950" width="12.85546875" style="199" customWidth="1"/>
    <col min="7951" max="7951" width="11.28515625" style="199" customWidth="1"/>
    <col min="7952" max="7952" width="16.28515625" style="199" customWidth="1"/>
    <col min="7953" max="7953" width="12.140625" style="199" customWidth="1"/>
    <col min="7954" max="7954" width="0" style="199" hidden="1" customWidth="1"/>
    <col min="7955" max="7955" width="12.140625" style="199" customWidth="1"/>
    <col min="7956" max="7956" width="10.85546875" style="199" customWidth="1"/>
    <col min="7957" max="7957" width="11.42578125" style="199" customWidth="1"/>
    <col min="7958" max="7958" width="11.28515625" style="199" customWidth="1"/>
    <col min="7959" max="7966" width="0" style="199" hidden="1" customWidth="1"/>
    <col min="7967" max="8192" width="10.28515625" style="199"/>
    <col min="8193" max="8193" width="5.5703125" style="199" customWidth="1"/>
    <col min="8194" max="8194" width="21.5703125" style="199" customWidth="1"/>
    <col min="8195" max="8195" width="7.7109375" style="199" customWidth="1"/>
    <col min="8196" max="8196" width="8.140625" style="199" customWidth="1"/>
    <col min="8197" max="8197" width="7.140625" style="199" customWidth="1"/>
    <col min="8198" max="8198" width="6.7109375" style="199" customWidth="1"/>
    <col min="8199" max="8199" width="5" style="199" customWidth="1"/>
    <col min="8200" max="8200" width="7.42578125" style="199" customWidth="1"/>
    <col min="8201" max="8201" width="6.28515625" style="199" customWidth="1"/>
    <col min="8202" max="8202" width="10.140625" style="199" customWidth="1"/>
    <col min="8203" max="8203" width="13.42578125" style="199" customWidth="1"/>
    <col min="8204" max="8204" width="14.5703125" style="199" customWidth="1"/>
    <col min="8205" max="8205" width="11.42578125" style="199" customWidth="1"/>
    <col min="8206" max="8206" width="12.85546875" style="199" customWidth="1"/>
    <col min="8207" max="8207" width="11.28515625" style="199" customWidth="1"/>
    <col min="8208" max="8208" width="16.28515625" style="199" customWidth="1"/>
    <col min="8209" max="8209" width="12.140625" style="199" customWidth="1"/>
    <col min="8210" max="8210" width="0" style="199" hidden="1" customWidth="1"/>
    <col min="8211" max="8211" width="12.140625" style="199" customWidth="1"/>
    <col min="8212" max="8212" width="10.85546875" style="199" customWidth="1"/>
    <col min="8213" max="8213" width="11.42578125" style="199" customWidth="1"/>
    <col min="8214" max="8214" width="11.28515625" style="199" customWidth="1"/>
    <col min="8215" max="8222" width="0" style="199" hidden="1" customWidth="1"/>
    <col min="8223" max="8448" width="10.28515625" style="199"/>
    <col min="8449" max="8449" width="5.5703125" style="199" customWidth="1"/>
    <col min="8450" max="8450" width="21.5703125" style="199" customWidth="1"/>
    <col min="8451" max="8451" width="7.7109375" style="199" customWidth="1"/>
    <col min="8452" max="8452" width="8.140625" style="199" customWidth="1"/>
    <col min="8453" max="8453" width="7.140625" style="199" customWidth="1"/>
    <col min="8454" max="8454" width="6.7109375" style="199" customWidth="1"/>
    <col min="8455" max="8455" width="5" style="199" customWidth="1"/>
    <col min="8456" max="8456" width="7.42578125" style="199" customWidth="1"/>
    <col min="8457" max="8457" width="6.28515625" style="199" customWidth="1"/>
    <col min="8458" max="8458" width="10.140625" style="199" customWidth="1"/>
    <col min="8459" max="8459" width="13.42578125" style="199" customWidth="1"/>
    <col min="8460" max="8460" width="14.5703125" style="199" customWidth="1"/>
    <col min="8461" max="8461" width="11.42578125" style="199" customWidth="1"/>
    <col min="8462" max="8462" width="12.85546875" style="199" customWidth="1"/>
    <col min="8463" max="8463" width="11.28515625" style="199" customWidth="1"/>
    <col min="8464" max="8464" width="16.28515625" style="199" customWidth="1"/>
    <col min="8465" max="8465" width="12.140625" style="199" customWidth="1"/>
    <col min="8466" max="8466" width="0" style="199" hidden="1" customWidth="1"/>
    <col min="8467" max="8467" width="12.140625" style="199" customWidth="1"/>
    <col min="8468" max="8468" width="10.85546875" style="199" customWidth="1"/>
    <col min="8469" max="8469" width="11.42578125" style="199" customWidth="1"/>
    <col min="8470" max="8470" width="11.28515625" style="199" customWidth="1"/>
    <col min="8471" max="8478" width="0" style="199" hidden="1" customWidth="1"/>
    <col min="8479" max="8704" width="10.28515625" style="199"/>
    <col min="8705" max="8705" width="5.5703125" style="199" customWidth="1"/>
    <col min="8706" max="8706" width="21.5703125" style="199" customWidth="1"/>
    <col min="8707" max="8707" width="7.7109375" style="199" customWidth="1"/>
    <col min="8708" max="8708" width="8.140625" style="199" customWidth="1"/>
    <col min="8709" max="8709" width="7.140625" style="199" customWidth="1"/>
    <col min="8710" max="8710" width="6.7109375" style="199" customWidth="1"/>
    <col min="8711" max="8711" width="5" style="199" customWidth="1"/>
    <col min="8712" max="8712" width="7.42578125" style="199" customWidth="1"/>
    <col min="8713" max="8713" width="6.28515625" style="199" customWidth="1"/>
    <col min="8714" max="8714" width="10.140625" style="199" customWidth="1"/>
    <col min="8715" max="8715" width="13.42578125" style="199" customWidth="1"/>
    <col min="8716" max="8716" width="14.5703125" style="199" customWidth="1"/>
    <col min="8717" max="8717" width="11.42578125" style="199" customWidth="1"/>
    <col min="8718" max="8718" width="12.85546875" style="199" customWidth="1"/>
    <col min="8719" max="8719" width="11.28515625" style="199" customWidth="1"/>
    <col min="8720" max="8720" width="16.28515625" style="199" customWidth="1"/>
    <col min="8721" max="8721" width="12.140625" style="199" customWidth="1"/>
    <col min="8722" max="8722" width="0" style="199" hidden="1" customWidth="1"/>
    <col min="8723" max="8723" width="12.140625" style="199" customWidth="1"/>
    <col min="8724" max="8724" width="10.85546875" style="199" customWidth="1"/>
    <col min="8725" max="8725" width="11.42578125" style="199" customWidth="1"/>
    <col min="8726" max="8726" width="11.28515625" style="199" customWidth="1"/>
    <col min="8727" max="8734" width="0" style="199" hidden="1" customWidth="1"/>
    <col min="8735" max="8960" width="10.28515625" style="199"/>
    <col min="8961" max="8961" width="5.5703125" style="199" customWidth="1"/>
    <col min="8962" max="8962" width="21.5703125" style="199" customWidth="1"/>
    <col min="8963" max="8963" width="7.7109375" style="199" customWidth="1"/>
    <col min="8964" max="8964" width="8.140625" style="199" customWidth="1"/>
    <col min="8965" max="8965" width="7.140625" style="199" customWidth="1"/>
    <col min="8966" max="8966" width="6.7109375" style="199" customWidth="1"/>
    <col min="8967" max="8967" width="5" style="199" customWidth="1"/>
    <col min="8968" max="8968" width="7.42578125" style="199" customWidth="1"/>
    <col min="8969" max="8969" width="6.28515625" style="199" customWidth="1"/>
    <col min="8970" max="8970" width="10.140625" style="199" customWidth="1"/>
    <col min="8971" max="8971" width="13.42578125" style="199" customWidth="1"/>
    <col min="8972" max="8972" width="14.5703125" style="199" customWidth="1"/>
    <col min="8973" max="8973" width="11.42578125" style="199" customWidth="1"/>
    <col min="8974" max="8974" width="12.85546875" style="199" customWidth="1"/>
    <col min="8975" max="8975" width="11.28515625" style="199" customWidth="1"/>
    <col min="8976" max="8976" width="16.28515625" style="199" customWidth="1"/>
    <col min="8977" max="8977" width="12.140625" style="199" customWidth="1"/>
    <col min="8978" max="8978" width="0" style="199" hidden="1" customWidth="1"/>
    <col min="8979" max="8979" width="12.140625" style="199" customWidth="1"/>
    <col min="8980" max="8980" width="10.85546875" style="199" customWidth="1"/>
    <col min="8981" max="8981" width="11.42578125" style="199" customWidth="1"/>
    <col min="8982" max="8982" width="11.28515625" style="199" customWidth="1"/>
    <col min="8983" max="8990" width="0" style="199" hidden="1" customWidth="1"/>
    <col min="8991" max="9216" width="10.28515625" style="199"/>
    <col min="9217" max="9217" width="5.5703125" style="199" customWidth="1"/>
    <col min="9218" max="9218" width="21.5703125" style="199" customWidth="1"/>
    <col min="9219" max="9219" width="7.7109375" style="199" customWidth="1"/>
    <col min="9220" max="9220" width="8.140625" style="199" customWidth="1"/>
    <col min="9221" max="9221" width="7.140625" style="199" customWidth="1"/>
    <col min="9222" max="9222" width="6.7109375" style="199" customWidth="1"/>
    <col min="9223" max="9223" width="5" style="199" customWidth="1"/>
    <col min="9224" max="9224" width="7.42578125" style="199" customWidth="1"/>
    <col min="9225" max="9225" width="6.28515625" style="199" customWidth="1"/>
    <col min="9226" max="9226" width="10.140625" style="199" customWidth="1"/>
    <col min="9227" max="9227" width="13.42578125" style="199" customWidth="1"/>
    <col min="9228" max="9228" width="14.5703125" style="199" customWidth="1"/>
    <col min="9229" max="9229" width="11.42578125" style="199" customWidth="1"/>
    <col min="9230" max="9230" width="12.85546875" style="199" customWidth="1"/>
    <col min="9231" max="9231" width="11.28515625" style="199" customWidth="1"/>
    <col min="9232" max="9232" width="16.28515625" style="199" customWidth="1"/>
    <col min="9233" max="9233" width="12.140625" style="199" customWidth="1"/>
    <col min="9234" max="9234" width="0" style="199" hidden="1" customWidth="1"/>
    <col min="9235" max="9235" width="12.140625" style="199" customWidth="1"/>
    <col min="9236" max="9236" width="10.85546875" style="199" customWidth="1"/>
    <col min="9237" max="9237" width="11.42578125" style="199" customWidth="1"/>
    <col min="9238" max="9238" width="11.28515625" style="199" customWidth="1"/>
    <col min="9239" max="9246" width="0" style="199" hidden="1" customWidth="1"/>
    <col min="9247" max="9472" width="10.28515625" style="199"/>
    <col min="9473" max="9473" width="5.5703125" style="199" customWidth="1"/>
    <col min="9474" max="9474" width="21.5703125" style="199" customWidth="1"/>
    <col min="9475" max="9475" width="7.7109375" style="199" customWidth="1"/>
    <col min="9476" max="9476" width="8.140625" style="199" customWidth="1"/>
    <col min="9477" max="9477" width="7.140625" style="199" customWidth="1"/>
    <col min="9478" max="9478" width="6.7109375" style="199" customWidth="1"/>
    <col min="9479" max="9479" width="5" style="199" customWidth="1"/>
    <col min="9480" max="9480" width="7.42578125" style="199" customWidth="1"/>
    <col min="9481" max="9481" width="6.28515625" style="199" customWidth="1"/>
    <col min="9482" max="9482" width="10.140625" style="199" customWidth="1"/>
    <col min="9483" max="9483" width="13.42578125" style="199" customWidth="1"/>
    <col min="9484" max="9484" width="14.5703125" style="199" customWidth="1"/>
    <col min="9485" max="9485" width="11.42578125" style="199" customWidth="1"/>
    <col min="9486" max="9486" width="12.85546875" style="199" customWidth="1"/>
    <col min="9487" max="9487" width="11.28515625" style="199" customWidth="1"/>
    <col min="9488" max="9488" width="16.28515625" style="199" customWidth="1"/>
    <col min="9489" max="9489" width="12.140625" style="199" customWidth="1"/>
    <col min="9490" max="9490" width="0" style="199" hidden="1" customWidth="1"/>
    <col min="9491" max="9491" width="12.140625" style="199" customWidth="1"/>
    <col min="9492" max="9492" width="10.85546875" style="199" customWidth="1"/>
    <col min="9493" max="9493" width="11.42578125" style="199" customWidth="1"/>
    <col min="9494" max="9494" width="11.28515625" style="199" customWidth="1"/>
    <col min="9495" max="9502" width="0" style="199" hidden="1" customWidth="1"/>
    <col min="9503" max="9728" width="10.28515625" style="199"/>
    <col min="9729" max="9729" width="5.5703125" style="199" customWidth="1"/>
    <col min="9730" max="9730" width="21.5703125" style="199" customWidth="1"/>
    <col min="9731" max="9731" width="7.7109375" style="199" customWidth="1"/>
    <col min="9732" max="9732" width="8.140625" style="199" customWidth="1"/>
    <col min="9733" max="9733" width="7.140625" style="199" customWidth="1"/>
    <col min="9734" max="9734" width="6.7109375" style="199" customWidth="1"/>
    <col min="9735" max="9735" width="5" style="199" customWidth="1"/>
    <col min="9736" max="9736" width="7.42578125" style="199" customWidth="1"/>
    <col min="9737" max="9737" width="6.28515625" style="199" customWidth="1"/>
    <col min="9738" max="9738" width="10.140625" style="199" customWidth="1"/>
    <col min="9739" max="9739" width="13.42578125" style="199" customWidth="1"/>
    <col min="9740" max="9740" width="14.5703125" style="199" customWidth="1"/>
    <col min="9741" max="9741" width="11.42578125" style="199" customWidth="1"/>
    <col min="9742" max="9742" width="12.85546875" style="199" customWidth="1"/>
    <col min="9743" max="9743" width="11.28515625" style="199" customWidth="1"/>
    <col min="9744" max="9744" width="16.28515625" style="199" customWidth="1"/>
    <col min="9745" max="9745" width="12.140625" style="199" customWidth="1"/>
    <col min="9746" max="9746" width="0" style="199" hidden="1" customWidth="1"/>
    <col min="9747" max="9747" width="12.140625" style="199" customWidth="1"/>
    <col min="9748" max="9748" width="10.85546875" style="199" customWidth="1"/>
    <col min="9749" max="9749" width="11.42578125" style="199" customWidth="1"/>
    <col min="9750" max="9750" width="11.28515625" style="199" customWidth="1"/>
    <col min="9751" max="9758" width="0" style="199" hidden="1" customWidth="1"/>
    <col min="9759" max="9984" width="10.28515625" style="199"/>
    <col min="9985" max="9985" width="5.5703125" style="199" customWidth="1"/>
    <col min="9986" max="9986" width="21.5703125" style="199" customWidth="1"/>
    <col min="9987" max="9987" width="7.7109375" style="199" customWidth="1"/>
    <col min="9988" max="9988" width="8.140625" style="199" customWidth="1"/>
    <col min="9989" max="9989" width="7.140625" style="199" customWidth="1"/>
    <col min="9990" max="9990" width="6.7109375" style="199" customWidth="1"/>
    <col min="9991" max="9991" width="5" style="199" customWidth="1"/>
    <col min="9992" max="9992" width="7.42578125" style="199" customWidth="1"/>
    <col min="9993" max="9993" width="6.28515625" style="199" customWidth="1"/>
    <col min="9994" max="9994" width="10.140625" style="199" customWidth="1"/>
    <col min="9995" max="9995" width="13.42578125" style="199" customWidth="1"/>
    <col min="9996" max="9996" width="14.5703125" style="199" customWidth="1"/>
    <col min="9997" max="9997" width="11.42578125" style="199" customWidth="1"/>
    <col min="9998" max="9998" width="12.85546875" style="199" customWidth="1"/>
    <col min="9999" max="9999" width="11.28515625" style="199" customWidth="1"/>
    <col min="10000" max="10000" width="16.28515625" style="199" customWidth="1"/>
    <col min="10001" max="10001" width="12.140625" style="199" customWidth="1"/>
    <col min="10002" max="10002" width="0" style="199" hidden="1" customWidth="1"/>
    <col min="10003" max="10003" width="12.140625" style="199" customWidth="1"/>
    <col min="10004" max="10004" width="10.85546875" style="199" customWidth="1"/>
    <col min="10005" max="10005" width="11.42578125" style="199" customWidth="1"/>
    <col min="10006" max="10006" width="11.28515625" style="199" customWidth="1"/>
    <col min="10007" max="10014" width="0" style="199" hidden="1" customWidth="1"/>
    <col min="10015" max="10240" width="10.28515625" style="199"/>
    <col min="10241" max="10241" width="5.5703125" style="199" customWidth="1"/>
    <col min="10242" max="10242" width="21.5703125" style="199" customWidth="1"/>
    <col min="10243" max="10243" width="7.7109375" style="199" customWidth="1"/>
    <col min="10244" max="10244" width="8.140625" style="199" customWidth="1"/>
    <col min="10245" max="10245" width="7.140625" style="199" customWidth="1"/>
    <col min="10246" max="10246" width="6.7109375" style="199" customWidth="1"/>
    <col min="10247" max="10247" width="5" style="199" customWidth="1"/>
    <col min="10248" max="10248" width="7.42578125" style="199" customWidth="1"/>
    <col min="10249" max="10249" width="6.28515625" style="199" customWidth="1"/>
    <col min="10250" max="10250" width="10.140625" style="199" customWidth="1"/>
    <col min="10251" max="10251" width="13.42578125" style="199" customWidth="1"/>
    <col min="10252" max="10252" width="14.5703125" style="199" customWidth="1"/>
    <col min="10253" max="10253" width="11.42578125" style="199" customWidth="1"/>
    <col min="10254" max="10254" width="12.85546875" style="199" customWidth="1"/>
    <col min="10255" max="10255" width="11.28515625" style="199" customWidth="1"/>
    <col min="10256" max="10256" width="16.28515625" style="199" customWidth="1"/>
    <col min="10257" max="10257" width="12.140625" style="199" customWidth="1"/>
    <col min="10258" max="10258" width="0" style="199" hidden="1" customWidth="1"/>
    <col min="10259" max="10259" width="12.140625" style="199" customWidth="1"/>
    <col min="10260" max="10260" width="10.85546875" style="199" customWidth="1"/>
    <col min="10261" max="10261" width="11.42578125" style="199" customWidth="1"/>
    <col min="10262" max="10262" width="11.28515625" style="199" customWidth="1"/>
    <col min="10263" max="10270" width="0" style="199" hidden="1" customWidth="1"/>
    <col min="10271" max="10496" width="10.28515625" style="199"/>
    <col min="10497" max="10497" width="5.5703125" style="199" customWidth="1"/>
    <col min="10498" max="10498" width="21.5703125" style="199" customWidth="1"/>
    <col min="10499" max="10499" width="7.7109375" style="199" customWidth="1"/>
    <col min="10500" max="10500" width="8.140625" style="199" customWidth="1"/>
    <col min="10501" max="10501" width="7.140625" style="199" customWidth="1"/>
    <col min="10502" max="10502" width="6.7109375" style="199" customWidth="1"/>
    <col min="10503" max="10503" width="5" style="199" customWidth="1"/>
    <col min="10504" max="10504" width="7.42578125" style="199" customWidth="1"/>
    <col min="10505" max="10505" width="6.28515625" style="199" customWidth="1"/>
    <col min="10506" max="10506" width="10.140625" style="199" customWidth="1"/>
    <col min="10507" max="10507" width="13.42578125" style="199" customWidth="1"/>
    <col min="10508" max="10508" width="14.5703125" style="199" customWidth="1"/>
    <col min="10509" max="10509" width="11.42578125" style="199" customWidth="1"/>
    <col min="10510" max="10510" width="12.85546875" style="199" customWidth="1"/>
    <col min="10511" max="10511" width="11.28515625" style="199" customWidth="1"/>
    <col min="10512" max="10512" width="16.28515625" style="199" customWidth="1"/>
    <col min="10513" max="10513" width="12.140625" style="199" customWidth="1"/>
    <col min="10514" max="10514" width="0" style="199" hidden="1" customWidth="1"/>
    <col min="10515" max="10515" width="12.140625" style="199" customWidth="1"/>
    <col min="10516" max="10516" width="10.85546875" style="199" customWidth="1"/>
    <col min="10517" max="10517" width="11.42578125" style="199" customWidth="1"/>
    <col min="10518" max="10518" width="11.28515625" style="199" customWidth="1"/>
    <col min="10519" max="10526" width="0" style="199" hidden="1" customWidth="1"/>
    <col min="10527" max="10752" width="10.28515625" style="199"/>
    <col min="10753" max="10753" width="5.5703125" style="199" customWidth="1"/>
    <col min="10754" max="10754" width="21.5703125" style="199" customWidth="1"/>
    <col min="10755" max="10755" width="7.7109375" style="199" customWidth="1"/>
    <col min="10756" max="10756" width="8.140625" style="199" customWidth="1"/>
    <col min="10757" max="10757" width="7.140625" style="199" customWidth="1"/>
    <col min="10758" max="10758" width="6.7109375" style="199" customWidth="1"/>
    <col min="10759" max="10759" width="5" style="199" customWidth="1"/>
    <col min="10760" max="10760" width="7.42578125" style="199" customWidth="1"/>
    <col min="10761" max="10761" width="6.28515625" style="199" customWidth="1"/>
    <col min="10762" max="10762" width="10.140625" style="199" customWidth="1"/>
    <col min="10763" max="10763" width="13.42578125" style="199" customWidth="1"/>
    <col min="10764" max="10764" width="14.5703125" style="199" customWidth="1"/>
    <col min="10765" max="10765" width="11.42578125" style="199" customWidth="1"/>
    <col min="10766" max="10766" width="12.85546875" style="199" customWidth="1"/>
    <col min="10767" max="10767" width="11.28515625" style="199" customWidth="1"/>
    <col min="10768" max="10768" width="16.28515625" style="199" customWidth="1"/>
    <col min="10769" max="10769" width="12.140625" style="199" customWidth="1"/>
    <col min="10770" max="10770" width="0" style="199" hidden="1" customWidth="1"/>
    <col min="10771" max="10771" width="12.140625" style="199" customWidth="1"/>
    <col min="10772" max="10772" width="10.85546875" style="199" customWidth="1"/>
    <col min="10773" max="10773" width="11.42578125" style="199" customWidth="1"/>
    <col min="10774" max="10774" width="11.28515625" style="199" customWidth="1"/>
    <col min="10775" max="10782" width="0" style="199" hidden="1" customWidth="1"/>
    <col min="10783" max="11008" width="10.28515625" style="199"/>
    <col min="11009" max="11009" width="5.5703125" style="199" customWidth="1"/>
    <col min="11010" max="11010" width="21.5703125" style="199" customWidth="1"/>
    <col min="11011" max="11011" width="7.7109375" style="199" customWidth="1"/>
    <col min="11012" max="11012" width="8.140625" style="199" customWidth="1"/>
    <col min="11013" max="11013" width="7.140625" style="199" customWidth="1"/>
    <col min="11014" max="11014" width="6.7109375" style="199" customWidth="1"/>
    <col min="11015" max="11015" width="5" style="199" customWidth="1"/>
    <col min="11016" max="11016" width="7.42578125" style="199" customWidth="1"/>
    <col min="11017" max="11017" width="6.28515625" style="199" customWidth="1"/>
    <col min="11018" max="11018" width="10.140625" style="199" customWidth="1"/>
    <col min="11019" max="11019" width="13.42578125" style="199" customWidth="1"/>
    <col min="11020" max="11020" width="14.5703125" style="199" customWidth="1"/>
    <col min="11021" max="11021" width="11.42578125" style="199" customWidth="1"/>
    <col min="11022" max="11022" width="12.85546875" style="199" customWidth="1"/>
    <col min="11023" max="11023" width="11.28515625" style="199" customWidth="1"/>
    <col min="11024" max="11024" width="16.28515625" style="199" customWidth="1"/>
    <col min="11025" max="11025" width="12.140625" style="199" customWidth="1"/>
    <col min="11026" max="11026" width="0" style="199" hidden="1" customWidth="1"/>
    <col min="11027" max="11027" width="12.140625" style="199" customWidth="1"/>
    <col min="11028" max="11028" width="10.85546875" style="199" customWidth="1"/>
    <col min="11029" max="11029" width="11.42578125" style="199" customWidth="1"/>
    <col min="11030" max="11030" width="11.28515625" style="199" customWidth="1"/>
    <col min="11031" max="11038" width="0" style="199" hidden="1" customWidth="1"/>
    <col min="11039" max="11264" width="10.28515625" style="199"/>
    <col min="11265" max="11265" width="5.5703125" style="199" customWidth="1"/>
    <col min="11266" max="11266" width="21.5703125" style="199" customWidth="1"/>
    <col min="11267" max="11267" width="7.7109375" style="199" customWidth="1"/>
    <col min="11268" max="11268" width="8.140625" style="199" customWidth="1"/>
    <col min="11269" max="11269" width="7.140625" style="199" customWidth="1"/>
    <col min="11270" max="11270" width="6.7109375" style="199" customWidth="1"/>
    <col min="11271" max="11271" width="5" style="199" customWidth="1"/>
    <col min="11272" max="11272" width="7.42578125" style="199" customWidth="1"/>
    <col min="11273" max="11273" width="6.28515625" style="199" customWidth="1"/>
    <col min="11274" max="11274" width="10.140625" style="199" customWidth="1"/>
    <col min="11275" max="11275" width="13.42578125" style="199" customWidth="1"/>
    <col min="11276" max="11276" width="14.5703125" style="199" customWidth="1"/>
    <col min="11277" max="11277" width="11.42578125" style="199" customWidth="1"/>
    <col min="11278" max="11278" width="12.85546875" style="199" customWidth="1"/>
    <col min="11279" max="11279" width="11.28515625" style="199" customWidth="1"/>
    <col min="11280" max="11280" width="16.28515625" style="199" customWidth="1"/>
    <col min="11281" max="11281" width="12.140625" style="199" customWidth="1"/>
    <col min="11282" max="11282" width="0" style="199" hidden="1" customWidth="1"/>
    <col min="11283" max="11283" width="12.140625" style="199" customWidth="1"/>
    <col min="11284" max="11284" width="10.85546875" style="199" customWidth="1"/>
    <col min="11285" max="11285" width="11.42578125" style="199" customWidth="1"/>
    <col min="11286" max="11286" width="11.28515625" style="199" customWidth="1"/>
    <col min="11287" max="11294" width="0" style="199" hidden="1" customWidth="1"/>
    <col min="11295" max="11520" width="10.28515625" style="199"/>
    <col min="11521" max="11521" width="5.5703125" style="199" customWidth="1"/>
    <col min="11522" max="11522" width="21.5703125" style="199" customWidth="1"/>
    <col min="11523" max="11523" width="7.7109375" style="199" customWidth="1"/>
    <col min="11524" max="11524" width="8.140625" style="199" customWidth="1"/>
    <col min="11525" max="11525" width="7.140625" style="199" customWidth="1"/>
    <col min="11526" max="11526" width="6.7109375" style="199" customWidth="1"/>
    <col min="11527" max="11527" width="5" style="199" customWidth="1"/>
    <col min="11528" max="11528" width="7.42578125" style="199" customWidth="1"/>
    <col min="11529" max="11529" width="6.28515625" style="199" customWidth="1"/>
    <col min="11530" max="11530" width="10.140625" style="199" customWidth="1"/>
    <col min="11531" max="11531" width="13.42578125" style="199" customWidth="1"/>
    <col min="11532" max="11532" width="14.5703125" style="199" customWidth="1"/>
    <col min="11533" max="11533" width="11.42578125" style="199" customWidth="1"/>
    <col min="11534" max="11534" width="12.85546875" style="199" customWidth="1"/>
    <col min="11535" max="11535" width="11.28515625" style="199" customWidth="1"/>
    <col min="11536" max="11536" width="16.28515625" style="199" customWidth="1"/>
    <col min="11537" max="11537" width="12.140625" style="199" customWidth="1"/>
    <col min="11538" max="11538" width="0" style="199" hidden="1" customWidth="1"/>
    <col min="11539" max="11539" width="12.140625" style="199" customWidth="1"/>
    <col min="11540" max="11540" width="10.85546875" style="199" customWidth="1"/>
    <col min="11541" max="11541" width="11.42578125" style="199" customWidth="1"/>
    <col min="11542" max="11542" width="11.28515625" style="199" customWidth="1"/>
    <col min="11543" max="11550" width="0" style="199" hidden="1" customWidth="1"/>
    <col min="11551" max="11776" width="10.28515625" style="199"/>
    <col min="11777" max="11777" width="5.5703125" style="199" customWidth="1"/>
    <col min="11778" max="11778" width="21.5703125" style="199" customWidth="1"/>
    <col min="11779" max="11779" width="7.7109375" style="199" customWidth="1"/>
    <col min="11780" max="11780" width="8.140625" style="199" customWidth="1"/>
    <col min="11781" max="11781" width="7.140625" style="199" customWidth="1"/>
    <col min="11782" max="11782" width="6.7109375" style="199" customWidth="1"/>
    <col min="11783" max="11783" width="5" style="199" customWidth="1"/>
    <col min="11784" max="11784" width="7.42578125" style="199" customWidth="1"/>
    <col min="11785" max="11785" width="6.28515625" style="199" customWidth="1"/>
    <col min="11786" max="11786" width="10.140625" style="199" customWidth="1"/>
    <col min="11787" max="11787" width="13.42578125" style="199" customWidth="1"/>
    <col min="11788" max="11788" width="14.5703125" style="199" customWidth="1"/>
    <col min="11789" max="11789" width="11.42578125" style="199" customWidth="1"/>
    <col min="11790" max="11790" width="12.85546875" style="199" customWidth="1"/>
    <col min="11791" max="11791" width="11.28515625" style="199" customWidth="1"/>
    <col min="11792" max="11792" width="16.28515625" style="199" customWidth="1"/>
    <col min="11793" max="11793" width="12.140625" style="199" customWidth="1"/>
    <col min="11794" max="11794" width="0" style="199" hidden="1" customWidth="1"/>
    <col min="11795" max="11795" width="12.140625" style="199" customWidth="1"/>
    <col min="11796" max="11796" width="10.85546875" style="199" customWidth="1"/>
    <col min="11797" max="11797" width="11.42578125" style="199" customWidth="1"/>
    <col min="11798" max="11798" width="11.28515625" style="199" customWidth="1"/>
    <col min="11799" max="11806" width="0" style="199" hidden="1" customWidth="1"/>
    <col min="11807" max="12032" width="10.28515625" style="199"/>
    <col min="12033" max="12033" width="5.5703125" style="199" customWidth="1"/>
    <col min="12034" max="12034" width="21.5703125" style="199" customWidth="1"/>
    <col min="12035" max="12035" width="7.7109375" style="199" customWidth="1"/>
    <col min="12036" max="12036" width="8.140625" style="199" customWidth="1"/>
    <col min="12037" max="12037" width="7.140625" style="199" customWidth="1"/>
    <col min="12038" max="12038" width="6.7109375" style="199" customWidth="1"/>
    <col min="12039" max="12039" width="5" style="199" customWidth="1"/>
    <col min="12040" max="12040" width="7.42578125" style="199" customWidth="1"/>
    <col min="12041" max="12041" width="6.28515625" style="199" customWidth="1"/>
    <col min="12042" max="12042" width="10.140625" style="199" customWidth="1"/>
    <col min="12043" max="12043" width="13.42578125" style="199" customWidth="1"/>
    <col min="12044" max="12044" width="14.5703125" style="199" customWidth="1"/>
    <col min="12045" max="12045" width="11.42578125" style="199" customWidth="1"/>
    <col min="12046" max="12046" width="12.85546875" style="199" customWidth="1"/>
    <col min="12047" max="12047" width="11.28515625" style="199" customWidth="1"/>
    <col min="12048" max="12048" width="16.28515625" style="199" customWidth="1"/>
    <col min="12049" max="12049" width="12.140625" style="199" customWidth="1"/>
    <col min="12050" max="12050" width="0" style="199" hidden="1" customWidth="1"/>
    <col min="12051" max="12051" width="12.140625" style="199" customWidth="1"/>
    <col min="12052" max="12052" width="10.85546875" style="199" customWidth="1"/>
    <col min="12053" max="12053" width="11.42578125" style="199" customWidth="1"/>
    <col min="12054" max="12054" width="11.28515625" style="199" customWidth="1"/>
    <col min="12055" max="12062" width="0" style="199" hidden="1" customWidth="1"/>
    <col min="12063" max="12288" width="10.28515625" style="199"/>
    <col min="12289" max="12289" width="5.5703125" style="199" customWidth="1"/>
    <col min="12290" max="12290" width="21.5703125" style="199" customWidth="1"/>
    <col min="12291" max="12291" width="7.7109375" style="199" customWidth="1"/>
    <col min="12292" max="12292" width="8.140625" style="199" customWidth="1"/>
    <col min="12293" max="12293" width="7.140625" style="199" customWidth="1"/>
    <col min="12294" max="12294" width="6.7109375" style="199" customWidth="1"/>
    <col min="12295" max="12295" width="5" style="199" customWidth="1"/>
    <col min="12296" max="12296" width="7.42578125" style="199" customWidth="1"/>
    <col min="12297" max="12297" width="6.28515625" style="199" customWidth="1"/>
    <col min="12298" max="12298" width="10.140625" style="199" customWidth="1"/>
    <col min="12299" max="12299" width="13.42578125" style="199" customWidth="1"/>
    <col min="12300" max="12300" width="14.5703125" style="199" customWidth="1"/>
    <col min="12301" max="12301" width="11.42578125" style="199" customWidth="1"/>
    <col min="12302" max="12302" width="12.85546875" style="199" customWidth="1"/>
    <col min="12303" max="12303" width="11.28515625" style="199" customWidth="1"/>
    <col min="12304" max="12304" width="16.28515625" style="199" customWidth="1"/>
    <col min="12305" max="12305" width="12.140625" style="199" customWidth="1"/>
    <col min="12306" max="12306" width="0" style="199" hidden="1" customWidth="1"/>
    <col min="12307" max="12307" width="12.140625" style="199" customWidth="1"/>
    <col min="12308" max="12308" width="10.85546875" style="199" customWidth="1"/>
    <col min="12309" max="12309" width="11.42578125" style="199" customWidth="1"/>
    <col min="12310" max="12310" width="11.28515625" style="199" customWidth="1"/>
    <col min="12311" max="12318" width="0" style="199" hidden="1" customWidth="1"/>
    <col min="12319" max="12544" width="10.28515625" style="199"/>
    <col min="12545" max="12545" width="5.5703125" style="199" customWidth="1"/>
    <col min="12546" max="12546" width="21.5703125" style="199" customWidth="1"/>
    <col min="12547" max="12547" width="7.7109375" style="199" customWidth="1"/>
    <col min="12548" max="12548" width="8.140625" style="199" customWidth="1"/>
    <col min="12549" max="12549" width="7.140625" style="199" customWidth="1"/>
    <col min="12550" max="12550" width="6.7109375" style="199" customWidth="1"/>
    <col min="12551" max="12551" width="5" style="199" customWidth="1"/>
    <col min="12552" max="12552" width="7.42578125" style="199" customWidth="1"/>
    <col min="12553" max="12553" width="6.28515625" style="199" customWidth="1"/>
    <col min="12554" max="12554" width="10.140625" style="199" customWidth="1"/>
    <col min="12555" max="12555" width="13.42578125" style="199" customWidth="1"/>
    <col min="12556" max="12556" width="14.5703125" style="199" customWidth="1"/>
    <col min="12557" max="12557" width="11.42578125" style="199" customWidth="1"/>
    <col min="12558" max="12558" width="12.85546875" style="199" customWidth="1"/>
    <col min="12559" max="12559" width="11.28515625" style="199" customWidth="1"/>
    <col min="12560" max="12560" width="16.28515625" style="199" customWidth="1"/>
    <col min="12561" max="12561" width="12.140625" style="199" customWidth="1"/>
    <col min="12562" max="12562" width="0" style="199" hidden="1" customWidth="1"/>
    <col min="12563" max="12563" width="12.140625" style="199" customWidth="1"/>
    <col min="12564" max="12564" width="10.85546875" style="199" customWidth="1"/>
    <col min="12565" max="12565" width="11.42578125" style="199" customWidth="1"/>
    <col min="12566" max="12566" width="11.28515625" style="199" customWidth="1"/>
    <col min="12567" max="12574" width="0" style="199" hidden="1" customWidth="1"/>
    <col min="12575" max="12800" width="10.28515625" style="199"/>
    <col min="12801" max="12801" width="5.5703125" style="199" customWidth="1"/>
    <col min="12802" max="12802" width="21.5703125" style="199" customWidth="1"/>
    <col min="12803" max="12803" width="7.7109375" style="199" customWidth="1"/>
    <col min="12804" max="12804" width="8.140625" style="199" customWidth="1"/>
    <col min="12805" max="12805" width="7.140625" style="199" customWidth="1"/>
    <col min="12806" max="12806" width="6.7109375" style="199" customWidth="1"/>
    <col min="12807" max="12807" width="5" style="199" customWidth="1"/>
    <col min="12808" max="12808" width="7.42578125" style="199" customWidth="1"/>
    <col min="12809" max="12809" width="6.28515625" style="199" customWidth="1"/>
    <col min="12810" max="12810" width="10.140625" style="199" customWidth="1"/>
    <col min="12811" max="12811" width="13.42578125" style="199" customWidth="1"/>
    <col min="12812" max="12812" width="14.5703125" style="199" customWidth="1"/>
    <col min="12813" max="12813" width="11.42578125" style="199" customWidth="1"/>
    <col min="12814" max="12814" width="12.85546875" style="199" customWidth="1"/>
    <col min="12815" max="12815" width="11.28515625" style="199" customWidth="1"/>
    <col min="12816" max="12816" width="16.28515625" style="199" customWidth="1"/>
    <col min="12817" max="12817" width="12.140625" style="199" customWidth="1"/>
    <col min="12818" max="12818" width="0" style="199" hidden="1" customWidth="1"/>
    <col min="12819" max="12819" width="12.140625" style="199" customWidth="1"/>
    <col min="12820" max="12820" width="10.85546875" style="199" customWidth="1"/>
    <col min="12821" max="12821" width="11.42578125" style="199" customWidth="1"/>
    <col min="12822" max="12822" width="11.28515625" style="199" customWidth="1"/>
    <col min="12823" max="12830" width="0" style="199" hidden="1" customWidth="1"/>
    <col min="12831" max="13056" width="10.28515625" style="199"/>
    <col min="13057" max="13057" width="5.5703125" style="199" customWidth="1"/>
    <col min="13058" max="13058" width="21.5703125" style="199" customWidth="1"/>
    <col min="13059" max="13059" width="7.7109375" style="199" customWidth="1"/>
    <col min="13060" max="13060" width="8.140625" style="199" customWidth="1"/>
    <col min="13061" max="13061" width="7.140625" style="199" customWidth="1"/>
    <col min="13062" max="13062" width="6.7109375" style="199" customWidth="1"/>
    <col min="13063" max="13063" width="5" style="199" customWidth="1"/>
    <col min="13064" max="13064" width="7.42578125" style="199" customWidth="1"/>
    <col min="13065" max="13065" width="6.28515625" style="199" customWidth="1"/>
    <col min="13066" max="13066" width="10.140625" style="199" customWidth="1"/>
    <col min="13067" max="13067" width="13.42578125" style="199" customWidth="1"/>
    <col min="13068" max="13068" width="14.5703125" style="199" customWidth="1"/>
    <col min="13069" max="13069" width="11.42578125" style="199" customWidth="1"/>
    <col min="13070" max="13070" width="12.85546875" style="199" customWidth="1"/>
    <col min="13071" max="13071" width="11.28515625" style="199" customWidth="1"/>
    <col min="13072" max="13072" width="16.28515625" style="199" customWidth="1"/>
    <col min="13073" max="13073" width="12.140625" style="199" customWidth="1"/>
    <col min="13074" max="13074" width="0" style="199" hidden="1" customWidth="1"/>
    <col min="13075" max="13075" width="12.140625" style="199" customWidth="1"/>
    <col min="13076" max="13076" width="10.85546875" style="199" customWidth="1"/>
    <col min="13077" max="13077" width="11.42578125" style="199" customWidth="1"/>
    <col min="13078" max="13078" width="11.28515625" style="199" customWidth="1"/>
    <col min="13079" max="13086" width="0" style="199" hidden="1" customWidth="1"/>
    <col min="13087" max="13312" width="10.28515625" style="199"/>
    <col min="13313" max="13313" width="5.5703125" style="199" customWidth="1"/>
    <col min="13314" max="13314" width="21.5703125" style="199" customWidth="1"/>
    <col min="13315" max="13315" width="7.7109375" style="199" customWidth="1"/>
    <col min="13316" max="13316" width="8.140625" style="199" customWidth="1"/>
    <col min="13317" max="13317" width="7.140625" style="199" customWidth="1"/>
    <col min="13318" max="13318" width="6.7109375" style="199" customWidth="1"/>
    <col min="13319" max="13319" width="5" style="199" customWidth="1"/>
    <col min="13320" max="13320" width="7.42578125" style="199" customWidth="1"/>
    <col min="13321" max="13321" width="6.28515625" style="199" customWidth="1"/>
    <col min="13322" max="13322" width="10.140625" style="199" customWidth="1"/>
    <col min="13323" max="13323" width="13.42578125" style="199" customWidth="1"/>
    <col min="13324" max="13324" width="14.5703125" style="199" customWidth="1"/>
    <col min="13325" max="13325" width="11.42578125" style="199" customWidth="1"/>
    <col min="13326" max="13326" width="12.85546875" style="199" customWidth="1"/>
    <col min="13327" max="13327" width="11.28515625" style="199" customWidth="1"/>
    <col min="13328" max="13328" width="16.28515625" style="199" customWidth="1"/>
    <col min="13329" max="13329" width="12.140625" style="199" customWidth="1"/>
    <col min="13330" max="13330" width="0" style="199" hidden="1" customWidth="1"/>
    <col min="13331" max="13331" width="12.140625" style="199" customWidth="1"/>
    <col min="13332" max="13332" width="10.85546875" style="199" customWidth="1"/>
    <col min="13333" max="13333" width="11.42578125" style="199" customWidth="1"/>
    <col min="13334" max="13334" width="11.28515625" style="199" customWidth="1"/>
    <col min="13335" max="13342" width="0" style="199" hidden="1" customWidth="1"/>
    <col min="13343" max="13568" width="10.28515625" style="199"/>
    <col min="13569" max="13569" width="5.5703125" style="199" customWidth="1"/>
    <col min="13570" max="13570" width="21.5703125" style="199" customWidth="1"/>
    <col min="13571" max="13571" width="7.7109375" style="199" customWidth="1"/>
    <col min="13572" max="13572" width="8.140625" style="199" customWidth="1"/>
    <col min="13573" max="13573" width="7.140625" style="199" customWidth="1"/>
    <col min="13574" max="13574" width="6.7109375" style="199" customWidth="1"/>
    <col min="13575" max="13575" width="5" style="199" customWidth="1"/>
    <col min="13576" max="13576" width="7.42578125" style="199" customWidth="1"/>
    <col min="13577" max="13577" width="6.28515625" style="199" customWidth="1"/>
    <col min="13578" max="13578" width="10.140625" style="199" customWidth="1"/>
    <col min="13579" max="13579" width="13.42578125" style="199" customWidth="1"/>
    <col min="13580" max="13580" width="14.5703125" style="199" customWidth="1"/>
    <col min="13581" max="13581" width="11.42578125" style="199" customWidth="1"/>
    <col min="13582" max="13582" width="12.85546875" style="199" customWidth="1"/>
    <col min="13583" max="13583" width="11.28515625" style="199" customWidth="1"/>
    <col min="13584" max="13584" width="16.28515625" style="199" customWidth="1"/>
    <col min="13585" max="13585" width="12.140625" style="199" customWidth="1"/>
    <col min="13586" max="13586" width="0" style="199" hidden="1" customWidth="1"/>
    <col min="13587" max="13587" width="12.140625" style="199" customWidth="1"/>
    <col min="13588" max="13588" width="10.85546875" style="199" customWidth="1"/>
    <col min="13589" max="13589" width="11.42578125" style="199" customWidth="1"/>
    <col min="13590" max="13590" width="11.28515625" style="199" customWidth="1"/>
    <col min="13591" max="13598" width="0" style="199" hidden="1" customWidth="1"/>
    <col min="13599" max="13824" width="10.28515625" style="199"/>
    <col min="13825" max="13825" width="5.5703125" style="199" customWidth="1"/>
    <col min="13826" max="13826" width="21.5703125" style="199" customWidth="1"/>
    <col min="13827" max="13827" width="7.7109375" style="199" customWidth="1"/>
    <col min="13828" max="13828" width="8.140625" style="199" customWidth="1"/>
    <col min="13829" max="13829" width="7.140625" style="199" customWidth="1"/>
    <col min="13830" max="13830" width="6.7109375" style="199" customWidth="1"/>
    <col min="13831" max="13831" width="5" style="199" customWidth="1"/>
    <col min="13832" max="13832" width="7.42578125" style="199" customWidth="1"/>
    <col min="13833" max="13833" width="6.28515625" style="199" customWidth="1"/>
    <col min="13834" max="13834" width="10.140625" style="199" customWidth="1"/>
    <col min="13835" max="13835" width="13.42578125" style="199" customWidth="1"/>
    <col min="13836" max="13836" width="14.5703125" style="199" customWidth="1"/>
    <col min="13837" max="13837" width="11.42578125" style="199" customWidth="1"/>
    <col min="13838" max="13838" width="12.85546875" style="199" customWidth="1"/>
    <col min="13839" max="13839" width="11.28515625" style="199" customWidth="1"/>
    <col min="13840" max="13840" width="16.28515625" style="199" customWidth="1"/>
    <col min="13841" max="13841" width="12.140625" style="199" customWidth="1"/>
    <col min="13842" max="13842" width="0" style="199" hidden="1" customWidth="1"/>
    <col min="13843" max="13843" width="12.140625" style="199" customWidth="1"/>
    <col min="13844" max="13844" width="10.85546875" style="199" customWidth="1"/>
    <col min="13845" max="13845" width="11.42578125" style="199" customWidth="1"/>
    <col min="13846" max="13846" width="11.28515625" style="199" customWidth="1"/>
    <col min="13847" max="13854" width="0" style="199" hidden="1" customWidth="1"/>
    <col min="13855" max="14080" width="10.28515625" style="199"/>
    <col min="14081" max="14081" width="5.5703125" style="199" customWidth="1"/>
    <col min="14082" max="14082" width="21.5703125" style="199" customWidth="1"/>
    <col min="14083" max="14083" width="7.7109375" style="199" customWidth="1"/>
    <col min="14084" max="14084" width="8.140625" style="199" customWidth="1"/>
    <col min="14085" max="14085" width="7.140625" style="199" customWidth="1"/>
    <col min="14086" max="14086" width="6.7109375" style="199" customWidth="1"/>
    <col min="14087" max="14087" width="5" style="199" customWidth="1"/>
    <col min="14088" max="14088" width="7.42578125" style="199" customWidth="1"/>
    <col min="14089" max="14089" width="6.28515625" style="199" customWidth="1"/>
    <col min="14090" max="14090" width="10.140625" style="199" customWidth="1"/>
    <col min="14091" max="14091" width="13.42578125" style="199" customWidth="1"/>
    <col min="14092" max="14092" width="14.5703125" style="199" customWidth="1"/>
    <col min="14093" max="14093" width="11.42578125" style="199" customWidth="1"/>
    <col min="14094" max="14094" width="12.85546875" style="199" customWidth="1"/>
    <col min="14095" max="14095" width="11.28515625" style="199" customWidth="1"/>
    <col min="14096" max="14096" width="16.28515625" style="199" customWidth="1"/>
    <col min="14097" max="14097" width="12.140625" style="199" customWidth="1"/>
    <col min="14098" max="14098" width="0" style="199" hidden="1" customWidth="1"/>
    <col min="14099" max="14099" width="12.140625" style="199" customWidth="1"/>
    <col min="14100" max="14100" width="10.85546875" style="199" customWidth="1"/>
    <col min="14101" max="14101" width="11.42578125" style="199" customWidth="1"/>
    <col min="14102" max="14102" width="11.28515625" style="199" customWidth="1"/>
    <col min="14103" max="14110" width="0" style="199" hidden="1" customWidth="1"/>
    <col min="14111" max="14336" width="10.28515625" style="199"/>
    <col min="14337" max="14337" width="5.5703125" style="199" customWidth="1"/>
    <col min="14338" max="14338" width="21.5703125" style="199" customWidth="1"/>
    <col min="14339" max="14339" width="7.7109375" style="199" customWidth="1"/>
    <col min="14340" max="14340" width="8.140625" style="199" customWidth="1"/>
    <col min="14341" max="14341" width="7.140625" style="199" customWidth="1"/>
    <col min="14342" max="14342" width="6.7109375" style="199" customWidth="1"/>
    <col min="14343" max="14343" width="5" style="199" customWidth="1"/>
    <col min="14344" max="14344" width="7.42578125" style="199" customWidth="1"/>
    <col min="14345" max="14345" width="6.28515625" style="199" customWidth="1"/>
    <col min="14346" max="14346" width="10.140625" style="199" customWidth="1"/>
    <col min="14347" max="14347" width="13.42578125" style="199" customWidth="1"/>
    <col min="14348" max="14348" width="14.5703125" style="199" customWidth="1"/>
    <col min="14349" max="14349" width="11.42578125" style="199" customWidth="1"/>
    <col min="14350" max="14350" width="12.85546875" style="199" customWidth="1"/>
    <col min="14351" max="14351" width="11.28515625" style="199" customWidth="1"/>
    <col min="14352" max="14352" width="16.28515625" style="199" customWidth="1"/>
    <col min="14353" max="14353" width="12.140625" style="199" customWidth="1"/>
    <col min="14354" max="14354" width="0" style="199" hidden="1" customWidth="1"/>
    <col min="14355" max="14355" width="12.140625" style="199" customWidth="1"/>
    <col min="14356" max="14356" width="10.85546875" style="199" customWidth="1"/>
    <col min="14357" max="14357" width="11.42578125" style="199" customWidth="1"/>
    <col min="14358" max="14358" width="11.28515625" style="199" customWidth="1"/>
    <col min="14359" max="14366" width="0" style="199" hidden="1" customWidth="1"/>
    <col min="14367" max="14592" width="10.28515625" style="199"/>
    <col min="14593" max="14593" width="5.5703125" style="199" customWidth="1"/>
    <col min="14594" max="14594" width="21.5703125" style="199" customWidth="1"/>
    <col min="14595" max="14595" width="7.7109375" style="199" customWidth="1"/>
    <col min="14596" max="14596" width="8.140625" style="199" customWidth="1"/>
    <col min="14597" max="14597" width="7.140625" style="199" customWidth="1"/>
    <col min="14598" max="14598" width="6.7109375" style="199" customWidth="1"/>
    <col min="14599" max="14599" width="5" style="199" customWidth="1"/>
    <col min="14600" max="14600" width="7.42578125" style="199" customWidth="1"/>
    <col min="14601" max="14601" width="6.28515625" style="199" customWidth="1"/>
    <col min="14602" max="14602" width="10.140625" style="199" customWidth="1"/>
    <col min="14603" max="14603" width="13.42578125" style="199" customWidth="1"/>
    <col min="14604" max="14604" width="14.5703125" style="199" customWidth="1"/>
    <col min="14605" max="14605" width="11.42578125" style="199" customWidth="1"/>
    <col min="14606" max="14606" width="12.85546875" style="199" customWidth="1"/>
    <col min="14607" max="14607" width="11.28515625" style="199" customWidth="1"/>
    <col min="14608" max="14608" width="16.28515625" style="199" customWidth="1"/>
    <col min="14609" max="14609" width="12.140625" style="199" customWidth="1"/>
    <col min="14610" max="14610" width="0" style="199" hidden="1" customWidth="1"/>
    <col min="14611" max="14611" width="12.140625" style="199" customWidth="1"/>
    <col min="14612" max="14612" width="10.85546875" style="199" customWidth="1"/>
    <col min="14613" max="14613" width="11.42578125" style="199" customWidth="1"/>
    <col min="14614" max="14614" width="11.28515625" style="199" customWidth="1"/>
    <col min="14615" max="14622" width="0" style="199" hidden="1" customWidth="1"/>
    <col min="14623" max="14848" width="10.28515625" style="199"/>
    <col min="14849" max="14849" width="5.5703125" style="199" customWidth="1"/>
    <col min="14850" max="14850" width="21.5703125" style="199" customWidth="1"/>
    <col min="14851" max="14851" width="7.7109375" style="199" customWidth="1"/>
    <col min="14852" max="14852" width="8.140625" style="199" customWidth="1"/>
    <col min="14853" max="14853" width="7.140625" style="199" customWidth="1"/>
    <col min="14854" max="14854" width="6.7109375" style="199" customWidth="1"/>
    <col min="14855" max="14855" width="5" style="199" customWidth="1"/>
    <col min="14856" max="14856" width="7.42578125" style="199" customWidth="1"/>
    <col min="14857" max="14857" width="6.28515625" style="199" customWidth="1"/>
    <col min="14858" max="14858" width="10.140625" style="199" customWidth="1"/>
    <col min="14859" max="14859" width="13.42578125" style="199" customWidth="1"/>
    <col min="14860" max="14860" width="14.5703125" style="199" customWidth="1"/>
    <col min="14861" max="14861" width="11.42578125" style="199" customWidth="1"/>
    <col min="14862" max="14862" width="12.85546875" style="199" customWidth="1"/>
    <col min="14863" max="14863" width="11.28515625" style="199" customWidth="1"/>
    <col min="14864" max="14864" width="16.28515625" style="199" customWidth="1"/>
    <col min="14865" max="14865" width="12.140625" style="199" customWidth="1"/>
    <col min="14866" max="14866" width="0" style="199" hidden="1" customWidth="1"/>
    <col min="14867" max="14867" width="12.140625" style="199" customWidth="1"/>
    <col min="14868" max="14868" width="10.85546875" style="199" customWidth="1"/>
    <col min="14869" max="14869" width="11.42578125" style="199" customWidth="1"/>
    <col min="14870" max="14870" width="11.28515625" style="199" customWidth="1"/>
    <col min="14871" max="14878" width="0" style="199" hidden="1" customWidth="1"/>
    <col min="14879" max="15104" width="10.28515625" style="199"/>
    <col min="15105" max="15105" width="5.5703125" style="199" customWidth="1"/>
    <col min="15106" max="15106" width="21.5703125" style="199" customWidth="1"/>
    <col min="15107" max="15107" width="7.7109375" style="199" customWidth="1"/>
    <col min="15108" max="15108" width="8.140625" style="199" customWidth="1"/>
    <col min="15109" max="15109" width="7.140625" style="199" customWidth="1"/>
    <col min="15110" max="15110" width="6.7109375" style="199" customWidth="1"/>
    <col min="15111" max="15111" width="5" style="199" customWidth="1"/>
    <col min="15112" max="15112" width="7.42578125" style="199" customWidth="1"/>
    <col min="15113" max="15113" width="6.28515625" style="199" customWidth="1"/>
    <col min="15114" max="15114" width="10.140625" style="199" customWidth="1"/>
    <col min="15115" max="15115" width="13.42578125" style="199" customWidth="1"/>
    <col min="15116" max="15116" width="14.5703125" style="199" customWidth="1"/>
    <col min="15117" max="15117" width="11.42578125" style="199" customWidth="1"/>
    <col min="15118" max="15118" width="12.85546875" style="199" customWidth="1"/>
    <col min="15119" max="15119" width="11.28515625" style="199" customWidth="1"/>
    <col min="15120" max="15120" width="16.28515625" style="199" customWidth="1"/>
    <col min="15121" max="15121" width="12.140625" style="199" customWidth="1"/>
    <col min="15122" max="15122" width="0" style="199" hidden="1" customWidth="1"/>
    <col min="15123" max="15123" width="12.140625" style="199" customWidth="1"/>
    <col min="15124" max="15124" width="10.85546875" style="199" customWidth="1"/>
    <col min="15125" max="15125" width="11.42578125" style="199" customWidth="1"/>
    <col min="15126" max="15126" width="11.28515625" style="199" customWidth="1"/>
    <col min="15127" max="15134" width="0" style="199" hidden="1" customWidth="1"/>
    <col min="15135" max="15360" width="10.28515625" style="199"/>
    <col min="15361" max="15361" width="5.5703125" style="199" customWidth="1"/>
    <col min="15362" max="15362" width="21.5703125" style="199" customWidth="1"/>
    <col min="15363" max="15363" width="7.7109375" style="199" customWidth="1"/>
    <col min="15364" max="15364" width="8.140625" style="199" customWidth="1"/>
    <col min="15365" max="15365" width="7.140625" style="199" customWidth="1"/>
    <col min="15366" max="15366" width="6.7109375" style="199" customWidth="1"/>
    <col min="15367" max="15367" width="5" style="199" customWidth="1"/>
    <col min="15368" max="15368" width="7.42578125" style="199" customWidth="1"/>
    <col min="15369" max="15369" width="6.28515625" style="199" customWidth="1"/>
    <col min="15370" max="15370" width="10.140625" style="199" customWidth="1"/>
    <col min="15371" max="15371" width="13.42578125" style="199" customWidth="1"/>
    <col min="15372" max="15372" width="14.5703125" style="199" customWidth="1"/>
    <col min="15373" max="15373" width="11.42578125" style="199" customWidth="1"/>
    <col min="15374" max="15374" width="12.85546875" style="199" customWidth="1"/>
    <col min="15375" max="15375" width="11.28515625" style="199" customWidth="1"/>
    <col min="15376" max="15376" width="16.28515625" style="199" customWidth="1"/>
    <col min="15377" max="15377" width="12.140625" style="199" customWidth="1"/>
    <col min="15378" max="15378" width="0" style="199" hidden="1" customWidth="1"/>
    <col min="15379" max="15379" width="12.140625" style="199" customWidth="1"/>
    <col min="15380" max="15380" width="10.85546875" style="199" customWidth="1"/>
    <col min="15381" max="15381" width="11.42578125" style="199" customWidth="1"/>
    <col min="15382" max="15382" width="11.28515625" style="199" customWidth="1"/>
    <col min="15383" max="15390" width="0" style="199" hidden="1" customWidth="1"/>
    <col min="15391" max="15616" width="10.28515625" style="199"/>
    <col min="15617" max="15617" width="5.5703125" style="199" customWidth="1"/>
    <col min="15618" max="15618" width="21.5703125" style="199" customWidth="1"/>
    <col min="15619" max="15619" width="7.7109375" style="199" customWidth="1"/>
    <col min="15620" max="15620" width="8.140625" style="199" customWidth="1"/>
    <col min="15621" max="15621" width="7.140625" style="199" customWidth="1"/>
    <col min="15622" max="15622" width="6.7109375" style="199" customWidth="1"/>
    <col min="15623" max="15623" width="5" style="199" customWidth="1"/>
    <col min="15624" max="15624" width="7.42578125" style="199" customWidth="1"/>
    <col min="15625" max="15625" width="6.28515625" style="199" customWidth="1"/>
    <col min="15626" max="15626" width="10.140625" style="199" customWidth="1"/>
    <col min="15627" max="15627" width="13.42578125" style="199" customWidth="1"/>
    <col min="15628" max="15628" width="14.5703125" style="199" customWidth="1"/>
    <col min="15629" max="15629" width="11.42578125" style="199" customWidth="1"/>
    <col min="15630" max="15630" width="12.85546875" style="199" customWidth="1"/>
    <col min="15631" max="15631" width="11.28515625" style="199" customWidth="1"/>
    <col min="15632" max="15632" width="16.28515625" style="199" customWidth="1"/>
    <col min="15633" max="15633" width="12.140625" style="199" customWidth="1"/>
    <col min="15634" max="15634" width="0" style="199" hidden="1" customWidth="1"/>
    <col min="15635" max="15635" width="12.140625" style="199" customWidth="1"/>
    <col min="15636" max="15636" width="10.85546875" style="199" customWidth="1"/>
    <col min="15637" max="15637" width="11.42578125" style="199" customWidth="1"/>
    <col min="15638" max="15638" width="11.28515625" style="199" customWidth="1"/>
    <col min="15639" max="15646" width="0" style="199" hidden="1" customWidth="1"/>
    <col min="15647" max="15872" width="10.28515625" style="199"/>
    <col min="15873" max="15873" width="5.5703125" style="199" customWidth="1"/>
    <col min="15874" max="15874" width="21.5703125" style="199" customWidth="1"/>
    <col min="15875" max="15875" width="7.7109375" style="199" customWidth="1"/>
    <col min="15876" max="15876" width="8.140625" style="199" customWidth="1"/>
    <col min="15877" max="15877" width="7.140625" style="199" customWidth="1"/>
    <col min="15878" max="15878" width="6.7109375" style="199" customWidth="1"/>
    <col min="15879" max="15879" width="5" style="199" customWidth="1"/>
    <col min="15880" max="15880" width="7.42578125" style="199" customWidth="1"/>
    <col min="15881" max="15881" width="6.28515625" style="199" customWidth="1"/>
    <col min="15882" max="15882" width="10.140625" style="199" customWidth="1"/>
    <col min="15883" max="15883" width="13.42578125" style="199" customWidth="1"/>
    <col min="15884" max="15884" width="14.5703125" style="199" customWidth="1"/>
    <col min="15885" max="15885" width="11.42578125" style="199" customWidth="1"/>
    <col min="15886" max="15886" width="12.85546875" style="199" customWidth="1"/>
    <col min="15887" max="15887" width="11.28515625" style="199" customWidth="1"/>
    <col min="15888" max="15888" width="16.28515625" style="199" customWidth="1"/>
    <col min="15889" max="15889" width="12.140625" style="199" customWidth="1"/>
    <col min="15890" max="15890" width="0" style="199" hidden="1" customWidth="1"/>
    <col min="15891" max="15891" width="12.140625" style="199" customWidth="1"/>
    <col min="15892" max="15892" width="10.85546875" style="199" customWidth="1"/>
    <col min="15893" max="15893" width="11.42578125" style="199" customWidth="1"/>
    <col min="15894" max="15894" width="11.28515625" style="199" customWidth="1"/>
    <col min="15895" max="15902" width="0" style="199" hidden="1" customWidth="1"/>
    <col min="15903" max="16128" width="10.28515625" style="199"/>
    <col min="16129" max="16129" width="5.5703125" style="199" customWidth="1"/>
    <col min="16130" max="16130" width="21.5703125" style="199" customWidth="1"/>
    <col min="16131" max="16131" width="7.7109375" style="199" customWidth="1"/>
    <col min="16132" max="16132" width="8.140625" style="199" customWidth="1"/>
    <col min="16133" max="16133" width="7.140625" style="199" customWidth="1"/>
    <col min="16134" max="16134" width="6.7109375" style="199" customWidth="1"/>
    <col min="16135" max="16135" width="5" style="199" customWidth="1"/>
    <col min="16136" max="16136" width="7.42578125" style="199" customWidth="1"/>
    <col min="16137" max="16137" width="6.28515625" style="199" customWidth="1"/>
    <col min="16138" max="16138" width="10.140625" style="199" customWidth="1"/>
    <col min="16139" max="16139" width="13.42578125" style="199" customWidth="1"/>
    <col min="16140" max="16140" width="14.5703125" style="199" customWidth="1"/>
    <col min="16141" max="16141" width="11.42578125" style="199" customWidth="1"/>
    <col min="16142" max="16142" width="12.85546875" style="199" customWidth="1"/>
    <col min="16143" max="16143" width="11.28515625" style="199" customWidth="1"/>
    <col min="16144" max="16144" width="16.28515625" style="199" customWidth="1"/>
    <col min="16145" max="16145" width="12.140625" style="199" customWidth="1"/>
    <col min="16146" max="16146" width="0" style="199" hidden="1" customWidth="1"/>
    <col min="16147" max="16147" width="12.140625" style="199" customWidth="1"/>
    <col min="16148" max="16148" width="10.85546875" style="199" customWidth="1"/>
    <col min="16149" max="16149" width="11.42578125" style="199" customWidth="1"/>
    <col min="16150" max="16150" width="11.28515625" style="199" customWidth="1"/>
    <col min="16151" max="16158" width="0" style="199" hidden="1" customWidth="1"/>
    <col min="16159" max="16384" width="10.28515625" style="199"/>
  </cols>
  <sheetData>
    <row r="1" spans="1:34">
      <c r="Q1" s="199" t="s">
        <v>98</v>
      </c>
    </row>
    <row r="2" spans="1:34">
      <c r="Q2" s="199" t="s">
        <v>99</v>
      </c>
    </row>
    <row r="4" spans="1:34" ht="13.5" thickBot="1">
      <c r="A4" s="278" t="s">
        <v>100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</row>
    <row r="5" spans="1:34" s="201" customFormat="1" ht="36.75" customHeight="1">
      <c r="A5" s="279" t="s">
        <v>101</v>
      </c>
      <c r="B5" s="281" t="s">
        <v>102</v>
      </c>
      <c r="C5" s="283" t="s">
        <v>103</v>
      </c>
      <c r="D5" s="283" t="s">
        <v>104</v>
      </c>
      <c r="E5" s="285" t="s">
        <v>105</v>
      </c>
      <c r="F5" s="285" t="s">
        <v>106</v>
      </c>
      <c r="G5" s="285" t="s">
        <v>107</v>
      </c>
      <c r="H5" s="285" t="s">
        <v>108</v>
      </c>
      <c r="I5" s="285" t="s">
        <v>109</v>
      </c>
      <c r="J5" s="285" t="s">
        <v>110</v>
      </c>
      <c r="K5" s="289" t="s">
        <v>111</v>
      </c>
      <c r="L5" s="290"/>
      <c r="M5" s="289" t="s">
        <v>112</v>
      </c>
      <c r="N5" s="290"/>
      <c r="O5" s="291" t="s">
        <v>113</v>
      </c>
      <c r="P5" s="293" t="s">
        <v>114</v>
      </c>
      <c r="Q5" s="285" t="s">
        <v>115</v>
      </c>
      <c r="R5" s="285" t="s">
        <v>116</v>
      </c>
      <c r="S5" s="285" t="s">
        <v>117</v>
      </c>
      <c r="T5" s="285" t="s">
        <v>118</v>
      </c>
      <c r="U5" s="285" t="s">
        <v>119</v>
      </c>
      <c r="V5" s="295" t="s">
        <v>120</v>
      </c>
      <c r="W5" s="287" t="s">
        <v>121</v>
      </c>
      <c r="X5" s="298" t="s">
        <v>122</v>
      </c>
      <c r="Y5" s="298"/>
      <c r="Z5" s="298"/>
      <c r="AA5" s="298"/>
      <c r="AB5" s="299"/>
      <c r="AC5" s="300" t="s">
        <v>123</v>
      </c>
      <c r="AD5" s="300" t="s">
        <v>124</v>
      </c>
      <c r="AE5" s="302" t="s">
        <v>151</v>
      </c>
      <c r="AF5" s="297" t="s">
        <v>152</v>
      </c>
      <c r="AG5" s="297" t="s">
        <v>153</v>
      </c>
      <c r="AH5" s="297" t="s">
        <v>154</v>
      </c>
    </row>
    <row r="6" spans="1:34" s="201" customFormat="1" ht="111.75" customHeight="1" thickBot="1">
      <c r="A6" s="280"/>
      <c r="B6" s="282"/>
      <c r="C6" s="282"/>
      <c r="D6" s="284"/>
      <c r="E6" s="286"/>
      <c r="F6" s="286"/>
      <c r="G6" s="286"/>
      <c r="H6" s="286"/>
      <c r="I6" s="286"/>
      <c r="J6" s="286"/>
      <c r="K6" s="106" t="s">
        <v>125</v>
      </c>
      <c r="L6" s="107" t="s">
        <v>126</v>
      </c>
      <c r="M6" s="106" t="s">
        <v>127</v>
      </c>
      <c r="N6" s="108" t="s">
        <v>128</v>
      </c>
      <c r="O6" s="292"/>
      <c r="P6" s="294"/>
      <c r="Q6" s="286"/>
      <c r="R6" s="286"/>
      <c r="S6" s="286"/>
      <c r="T6" s="286"/>
      <c r="U6" s="286"/>
      <c r="V6" s="296"/>
      <c r="W6" s="288"/>
      <c r="X6" s="109" t="s">
        <v>129</v>
      </c>
      <c r="Y6" s="110" t="s">
        <v>130</v>
      </c>
      <c r="Z6" s="110" t="s">
        <v>131</v>
      </c>
      <c r="AA6" s="110" t="s">
        <v>132</v>
      </c>
      <c r="AB6" s="111" t="s">
        <v>133</v>
      </c>
      <c r="AC6" s="301"/>
      <c r="AD6" s="301"/>
      <c r="AE6" s="302"/>
      <c r="AF6" s="297"/>
      <c r="AG6" s="297"/>
      <c r="AH6" s="297"/>
    </row>
    <row r="7" spans="1:34" s="203" customFormat="1" ht="13.5" thickBot="1">
      <c r="A7" s="112">
        <v>1</v>
      </c>
      <c r="B7" s="113">
        <v>2</v>
      </c>
      <c r="C7" s="114">
        <v>3</v>
      </c>
      <c r="D7" s="114">
        <v>4</v>
      </c>
      <c r="E7" s="114">
        <v>5</v>
      </c>
      <c r="F7" s="114">
        <v>6</v>
      </c>
      <c r="G7" s="114">
        <v>7</v>
      </c>
      <c r="H7" s="114">
        <v>8</v>
      </c>
      <c r="I7" s="114">
        <v>9</v>
      </c>
      <c r="J7" s="114">
        <v>10</v>
      </c>
      <c r="K7" s="114">
        <v>11</v>
      </c>
      <c r="L7" s="115">
        <v>12</v>
      </c>
      <c r="M7" s="114">
        <v>13</v>
      </c>
      <c r="N7" s="116">
        <v>14</v>
      </c>
      <c r="O7" s="117">
        <v>15</v>
      </c>
      <c r="P7" s="118">
        <v>16</v>
      </c>
      <c r="Q7" s="113">
        <v>17</v>
      </c>
      <c r="R7" s="113">
        <v>18</v>
      </c>
      <c r="S7" s="113">
        <v>18</v>
      </c>
      <c r="T7" s="113">
        <v>19</v>
      </c>
      <c r="U7" s="113">
        <v>20</v>
      </c>
      <c r="V7" s="119">
        <v>21</v>
      </c>
      <c r="W7" s="120">
        <v>22</v>
      </c>
      <c r="X7" s="121">
        <v>22</v>
      </c>
      <c r="Y7" s="122">
        <v>23</v>
      </c>
      <c r="Z7" s="122">
        <v>24</v>
      </c>
      <c r="AA7" s="123">
        <v>25</v>
      </c>
      <c r="AB7" s="124">
        <v>26</v>
      </c>
      <c r="AC7" s="202"/>
      <c r="AD7" s="202"/>
      <c r="AE7" s="203">
        <v>1.825</v>
      </c>
      <c r="AF7" s="203">
        <v>287</v>
      </c>
      <c r="AG7" s="203">
        <v>163.30000000000001</v>
      </c>
    </row>
    <row r="8" spans="1:34">
      <c r="A8" s="125"/>
      <c r="B8" s="126" t="s">
        <v>134</v>
      </c>
      <c r="C8" s="127"/>
      <c r="D8" s="127"/>
      <c r="E8" s="127"/>
      <c r="F8" s="127"/>
      <c r="G8" s="127"/>
      <c r="H8" s="127"/>
      <c r="I8" s="127"/>
      <c r="J8" s="127"/>
      <c r="K8" s="127"/>
      <c r="L8" s="128"/>
      <c r="M8" s="127"/>
      <c r="N8" s="127"/>
      <c r="O8" s="127"/>
      <c r="P8" s="129"/>
      <c r="Q8" s="130"/>
      <c r="R8" s="130"/>
      <c r="S8" s="130"/>
      <c r="T8" s="130"/>
      <c r="U8" s="130"/>
      <c r="V8" s="131"/>
      <c r="W8" s="132"/>
      <c r="X8" s="133"/>
      <c r="Y8" s="130"/>
      <c r="Z8" s="130"/>
      <c r="AA8" s="130"/>
      <c r="AB8" s="134"/>
      <c r="AC8" s="166"/>
      <c r="AD8" s="166"/>
    </row>
    <row r="9" spans="1:34">
      <c r="A9" s="135"/>
      <c r="B9" s="136" t="s">
        <v>2</v>
      </c>
      <c r="C9" s="137"/>
      <c r="D9" s="137"/>
      <c r="E9" s="137"/>
      <c r="F9" s="137"/>
      <c r="G9" s="137"/>
      <c r="H9" s="137"/>
      <c r="I9" s="137"/>
      <c r="J9" s="137"/>
      <c r="K9" s="137"/>
      <c r="L9" s="138"/>
      <c r="M9" s="137"/>
      <c r="N9" s="137"/>
      <c r="O9" s="137"/>
      <c r="P9" s="139"/>
      <c r="Q9" s="140"/>
      <c r="R9" s="140"/>
      <c r="S9" s="140"/>
      <c r="T9" s="140"/>
      <c r="U9" s="140"/>
      <c r="V9" s="141"/>
      <c r="W9" s="142"/>
      <c r="X9" s="143"/>
      <c r="Y9" s="140"/>
      <c r="Z9" s="140"/>
      <c r="AA9" s="140"/>
      <c r="AB9" s="144"/>
      <c r="AC9" s="166"/>
      <c r="AD9" s="166"/>
    </row>
    <row r="10" spans="1:34" s="204" customFormat="1">
      <c r="A10" s="145">
        <v>1</v>
      </c>
      <c r="B10" s="146" t="s">
        <v>6</v>
      </c>
      <c r="C10" s="146">
        <v>1974</v>
      </c>
      <c r="D10" s="146" t="s">
        <v>135</v>
      </c>
      <c r="E10" s="146">
        <v>5</v>
      </c>
      <c r="F10" s="146">
        <v>8</v>
      </c>
      <c r="G10" s="146"/>
      <c r="H10" s="146"/>
      <c r="I10" s="146">
        <v>97</v>
      </c>
      <c r="J10" s="146">
        <v>274</v>
      </c>
      <c r="K10" s="147">
        <v>1682.4</v>
      </c>
      <c r="L10" s="148"/>
      <c r="M10" s="147">
        <v>3190.1</v>
      </c>
      <c r="N10" s="147">
        <v>4709.3</v>
      </c>
      <c r="O10" s="147">
        <v>875.1</v>
      </c>
      <c r="P10" s="149">
        <f t="shared" ref="P10:P41" si="0">N10+O10</f>
        <v>5584.4000000000005</v>
      </c>
      <c r="Q10" s="150">
        <v>699.2</v>
      </c>
      <c r="R10" s="150">
        <v>699.2</v>
      </c>
      <c r="S10" s="150">
        <v>598.4</v>
      </c>
      <c r="T10" s="147">
        <v>1235.5</v>
      </c>
      <c r="U10" s="147">
        <v>1333.2</v>
      </c>
      <c r="V10" s="151">
        <v>28</v>
      </c>
      <c r="W10" s="152">
        <v>42</v>
      </c>
      <c r="X10" s="153">
        <v>187</v>
      </c>
      <c r="Y10" s="154">
        <v>816</v>
      </c>
      <c r="Z10" s="154">
        <v>336</v>
      </c>
      <c r="AA10" s="154">
        <v>1014</v>
      </c>
      <c r="AB10" s="155">
        <v>2396</v>
      </c>
      <c r="AC10" s="154">
        <v>39</v>
      </c>
      <c r="AD10" s="154">
        <f t="shared" ref="AD10:AD41" si="1">P10*AC10</f>
        <v>217791.60000000003</v>
      </c>
      <c r="AE10" s="234">
        <f>J10*$AE$7</f>
        <v>500.05</v>
      </c>
      <c r="AF10" s="234">
        <f>AE10*$AF$7</f>
        <v>143514.35</v>
      </c>
      <c r="AG10" s="234">
        <f>AE10*$AG$7</f>
        <v>81658.165000000008</v>
      </c>
    </row>
    <row r="11" spans="1:34" s="204" customFormat="1">
      <c r="A11" s="145">
        <v>2</v>
      </c>
      <c r="B11" s="146" t="s">
        <v>7</v>
      </c>
      <c r="C11" s="146">
        <v>1974</v>
      </c>
      <c r="D11" s="146" t="s">
        <v>135</v>
      </c>
      <c r="E11" s="146">
        <v>5</v>
      </c>
      <c r="F11" s="146">
        <v>4</v>
      </c>
      <c r="G11" s="146"/>
      <c r="H11" s="146"/>
      <c r="I11" s="146">
        <v>70</v>
      </c>
      <c r="J11" s="146">
        <v>222</v>
      </c>
      <c r="K11" s="147">
        <v>1150.3</v>
      </c>
      <c r="L11" s="148"/>
      <c r="M11" s="147">
        <v>2281.9</v>
      </c>
      <c r="N11" s="147">
        <v>3362.2</v>
      </c>
      <c r="O11" s="147"/>
      <c r="P11" s="149">
        <f t="shared" si="0"/>
        <v>3362.2</v>
      </c>
      <c r="Q11" s="150">
        <v>328.7</v>
      </c>
      <c r="R11" s="150">
        <v>328.7</v>
      </c>
      <c r="S11" s="150">
        <v>328.7</v>
      </c>
      <c r="T11" s="147">
        <v>712.7</v>
      </c>
      <c r="U11" s="147">
        <v>784</v>
      </c>
      <c r="V11" s="151">
        <v>14</v>
      </c>
      <c r="W11" s="152">
        <v>21</v>
      </c>
      <c r="X11" s="153">
        <v>158</v>
      </c>
      <c r="Y11" s="154">
        <v>514</v>
      </c>
      <c r="Z11" s="154">
        <v>72</v>
      </c>
      <c r="AA11" s="154">
        <v>706</v>
      </c>
      <c r="AB11" s="155">
        <v>2396</v>
      </c>
      <c r="AC11" s="154">
        <v>39</v>
      </c>
      <c r="AD11" s="154">
        <f t="shared" si="1"/>
        <v>131125.79999999999</v>
      </c>
      <c r="AE11" s="234">
        <f t="shared" ref="AE11:AE43" si="2">J11*$AE$7</f>
        <v>405.15</v>
      </c>
      <c r="AF11" s="234">
        <f t="shared" ref="AF11:AF43" si="3">AE11*$AF$7</f>
        <v>116278.04999999999</v>
      </c>
      <c r="AG11" s="234">
        <f t="shared" ref="AG11:AG43" si="4">AE11*$AG$7</f>
        <v>66160.994999999995</v>
      </c>
    </row>
    <row r="12" spans="1:34" s="204" customFormat="1">
      <c r="A12" s="145">
        <v>3</v>
      </c>
      <c r="B12" s="146" t="s">
        <v>8</v>
      </c>
      <c r="C12" s="146">
        <v>1974</v>
      </c>
      <c r="D12" s="146" t="s">
        <v>135</v>
      </c>
      <c r="E12" s="146">
        <v>5</v>
      </c>
      <c r="F12" s="146">
        <v>8</v>
      </c>
      <c r="G12" s="146"/>
      <c r="H12" s="146"/>
      <c r="I12" s="146">
        <v>93</v>
      </c>
      <c r="J12" s="146">
        <v>253</v>
      </c>
      <c r="K12" s="147">
        <v>1682.4</v>
      </c>
      <c r="L12" s="148"/>
      <c r="M12" s="147">
        <v>3012.9</v>
      </c>
      <c r="N12" s="147">
        <v>4527.3999999999996</v>
      </c>
      <c r="O12" s="147">
        <v>1033.8</v>
      </c>
      <c r="P12" s="149">
        <f t="shared" si="0"/>
        <v>5561.2</v>
      </c>
      <c r="Q12" s="150">
        <v>686.3</v>
      </c>
      <c r="R12" s="150">
        <v>686.3</v>
      </c>
      <c r="S12" s="150">
        <v>686.3</v>
      </c>
      <c r="T12" s="147">
        <v>1419.5</v>
      </c>
      <c r="U12" s="147">
        <v>1333.2</v>
      </c>
      <c r="V12" s="151">
        <v>28</v>
      </c>
      <c r="W12" s="152">
        <v>42</v>
      </c>
      <c r="X12" s="153">
        <v>257</v>
      </c>
      <c r="Y12" s="154">
        <v>798</v>
      </c>
      <c r="Z12" s="154">
        <v>174</v>
      </c>
      <c r="AA12" s="154">
        <v>1283</v>
      </c>
      <c r="AB12" s="155">
        <v>418</v>
      </c>
      <c r="AC12" s="154">
        <v>39</v>
      </c>
      <c r="AD12" s="154">
        <f t="shared" si="1"/>
        <v>216886.8</v>
      </c>
      <c r="AE12" s="234">
        <f t="shared" si="2"/>
        <v>461.72499999999997</v>
      </c>
      <c r="AF12" s="234">
        <f t="shared" si="3"/>
        <v>132515.07499999998</v>
      </c>
      <c r="AG12" s="234">
        <f t="shared" si="4"/>
        <v>75399.692500000005</v>
      </c>
    </row>
    <row r="13" spans="1:34" s="204" customFormat="1">
      <c r="A13" s="145">
        <v>4</v>
      </c>
      <c r="B13" s="146" t="s">
        <v>136</v>
      </c>
      <c r="C13" s="146">
        <v>1976</v>
      </c>
      <c r="D13" s="146" t="s">
        <v>137</v>
      </c>
      <c r="E13" s="146">
        <v>5</v>
      </c>
      <c r="F13" s="146">
        <v>3</v>
      </c>
      <c r="G13" s="146"/>
      <c r="H13" s="146"/>
      <c r="I13" s="146">
        <v>22</v>
      </c>
      <c r="J13" s="146">
        <v>393</v>
      </c>
      <c r="K13" s="147"/>
      <c r="L13" s="148">
        <v>1568.1</v>
      </c>
      <c r="M13" s="147">
        <v>3616.8</v>
      </c>
      <c r="N13" s="147">
        <v>6007.9</v>
      </c>
      <c r="O13" s="147">
        <v>381.1</v>
      </c>
      <c r="P13" s="149">
        <f t="shared" si="0"/>
        <v>6389</v>
      </c>
      <c r="Q13" s="150">
        <f>263.6</f>
        <v>263.60000000000002</v>
      </c>
      <c r="R13" s="150">
        <f>263.6</f>
        <v>263.60000000000002</v>
      </c>
      <c r="S13" s="150">
        <f>263.6</f>
        <v>263.60000000000002</v>
      </c>
      <c r="T13" s="147">
        <v>1369.6</v>
      </c>
      <c r="U13" s="147">
        <v>0</v>
      </c>
      <c r="V13" s="151">
        <f>3.5+52.2+28.9</f>
        <v>84.6</v>
      </c>
      <c r="W13" s="152">
        <v>16</v>
      </c>
      <c r="X13" s="153">
        <v>208</v>
      </c>
      <c r="Y13" s="154">
        <v>1234</v>
      </c>
      <c r="Z13" s="154">
        <v>238</v>
      </c>
      <c r="AA13" s="154">
        <v>963</v>
      </c>
      <c r="AB13" s="155">
        <v>418</v>
      </c>
      <c r="AC13" s="205">
        <v>37</v>
      </c>
      <c r="AD13" s="154">
        <f t="shared" si="1"/>
        <v>236393</v>
      </c>
      <c r="AE13" s="234">
        <f t="shared" si="2"/>
        <v>717.22500000000002</v>
      </c>
      <c r="AF13" s="234">
        <f t="shared" si="3"/>
        <v>205843.57500000001</v>
      </c>
      <c r="AG13" s="234">
        <f t="shared" si="4"/>
        <v>117122.84250000001</v>
      </c>
    </row>
    <row r="14" spans="1:34" s="204" customFormat="1">
      <c r="A14" s="145">
        <v>5</v>
      </c>
      <c r="B14" s="146" t="s">
        <v>10</v>
      </c>
      <c r="C14" s="146">
        <v>1976</v>
      </c>
      <c r="D14" s="146" t="s">
        <v>137</v>
      </c>
      <c r="E14" s="146">
        <v>5</v>
      </c>
      <c r="F14" s="146">
        <v>3</v>
      </c>
      <c r="G14" s="146"/>
      <c r="H14" s="146"/>
      <c r="I14" s="146">
        <v>20</v>
      </c>
      <c r="J14" s="146">
        <v>464</v>
      </c>
      <c r="K14" s="147"/>
      <c r="L14" s="148">
        <v>1568.1</v>
      </c>
      <c r="M14" s="147">
        <v>3797.8</v>
      </c>
      <c r="N14" s="147">
        <v>6005.8</v>
      </c>
      <c r="O14" s="147">
        <v>309.5</v>
      </c>
      <c r="P14" s="149">
        <f t="shared" si="0"/>
        <v>6315.3</v>
      </c>
      <c r="Q14" s="150">
        <v>267.5</v>
      </c>
      <c r="R14" s="150">
        <v>267.5</v>
      </c>
      <c r="S14" s="150">
        <v>220</v>
      </c>
      <c r="T14" s="147">
        <v>1395</v>
      </c>
      <c r="U14" s="147">
        <v>0</v>
      </c>
      <c r="V14" s="151">
        <f>3.5+51+22.6</f>
        <v>77.099999999999994</v>
      </c>
      <c r="W14" s="152">
        <v>16</v>
      </c>
      <c r="X14" s="153">
        <v>171</v>
      </c>
      <c r="Y14" s="154">
        <v>896</v>
      </c>
      <c r="Z14" s="154">
        <v>214</v>
      </c>
      <c r="AA14" s="154">
        <v>768</v>
      </c>
      <c r="AB14" s="155">
        <v>2346</v>
      </c>
      <c r="AC14" s="154">
        <v>37</v>
      </c>
      <c r="AD14" s="154">
        <f t="shared" si="1"/>
        <v>233666.1</v>
      </c>
      <c r="AE14" s="234">
        <f t="shared" si="2"/>
        <v>846.8</v>
      </c>
      <c r="AF14" s="234">
        <f t="shared" si="3"/>
        <v>243031.59999999998</v>
      </c>
      <c r="AG14" s="234">
        <f t="shared" si="4"/>
        <v>138282.44</v>
      </c>
    </row>
    <row r="15" spans="1:34" s="204" customFormat="1">
      <c r="A15" s="145">
        <v>6</v>
      </c>
      <c r="B15" s="146" t="s">
        <v>11</v>
      </c>
      <c r="C15" s="146">
        <v>1974</v>
      </c>
      <c r="D15" s="146" t="s">
        <v>135</v>
      </c>
      <c r="E15" s="146">
        <v>5</v>
      </c>
      <c r="F15" s="146">
        <v>6</v>
      </c>
      <c r="G15" s="146"/>
      <c r="H15" s="146"/>
      <c r="I15" s="146">
        <v>92</v>
      </c>
      <c r="J15" s="146">
        <v>272</v>
      </c>
      <c r="K15" s="147">
        <v>1395.5</v>
      </c>
      <c r="L15" s="148"/>
      <c r="M15" s="147">
        <v>3086.2</v>
      </c>
      <c r="N15" s="147">
        <v>4496.1000000000004</v>
      </c>
      <c r="O15" s="147">
        <v>116</v>
      </c>
      <c r="P15" s="149">
        <f t="shared" si="0"/>
        <v>4612.1000000000004</v>
      </c>
      <c r="Q15" s="150">
        <v>532</v>
      </c>
      <c r="R15" s="150">
        <v>532</v>
      </c>
      <c r="S15" s="150">
        <v>532</v>
      </c>
      <c r="T15" s="147">
        <v>1144.3</v>
      </c>
      <c r="U15" s="147">
        <v>1127.7</v>
      </c>
      <c r="V15" s="151">
        <v>21</v>
      </c>
      <c r="W15" s="152">
        <v>31</v>
      </c>
      <c r="X15" s="153">
        <v>225</v>
      </c>
      <c r="Y15" s="154">
        <v>988</v>
      </c>
      <c r="Z15" s="154">
        <v>297</v>
      </c>
      <c r="AA15" s="154">
        <v>937</v>
      </c>
      <c r="AB15" s="155">
        <v>2396</v>
      </c>
      <c r="AC15" s="154">
        <v>39</v>
      </c>
      <c r="AD15" s="154">
        <f t="shared" si="1"/>
        <v>179871.90000000002</v>
      </c>
      <c r="AE15" s="234">
        <f t="shared" si="2"/>
        <v>496.4</v>
      </c>
      <c r="AF15" s="234">
        <f t="shared" si="3"/>
        <v>142466.79999999999</v>
      </c>
      <c r="AG15" s="234">
        <f t="shared" si="4"/>
        <v>81062.12</v>
      </c>
    </row>
    <row r="16" spans="1:34" s="204" customFormat="1">
      <c r="A16" s="145">
        <v>7</v>
      </c>
      <c r="B16" s="146" t="s">
        <v>12</v>
      </c>
      <c r="C16" s="146">
        <v>1974</v>
      </c>
      <c r="D16" s="146" t="s">
        <v>135</v>
      </c>
      <c r="E16" s="146">
        <v>5</v>
      </c>
      <c r="F16" s="146">
        <v>6</v>
      </c>
      <c r="G16" s="146"/>
      <c r="H16" s="146"/>
      <c r="I16" s="146">
        <v>93</v>
      </c>
      <c r="J16" s="146">
        <v>259</v>
      </c>
      <c r="K16" s="147">
        <v>1431.4</v>
      </c>
      <c r="L16" s="148"/>
      <c r="M16" s="147">
        <v>3049.7</v>
      </c>
      <c r="N16" s="147">
        <v>4542.8999999999996</v>
      </c>
      <c r="O16" s="147">
        <f>58.7</f>
        <v>58.7</v>
      </c>
      <c r="P16" s="149">
        <f t="shared" si="0"/>
        <v>4601.5999999999995</v>
      </c>
      <c r="Q16" s="150">
        <f>16.7+511.3</f>
        <v>528</v>
      </c>
      <c r="R16" s="150">
        <f>16.7+511.3</f>
        <v>528</v>
      </c>
      <c r="S16" s="150">
        <f>16.7+511.3</f>
        <v>528</v>
      </c>
      <c r="T16" s="147">
        <v>1096.8</v>
      </c>
      <c r="U16" s="147">
        <v>1145.4000000000001</v>
      </c>
      <c r="V16" s="151">
        <v>21</v>
      </c>
      <c r="W16" s="152">
        <v>31</v>
      </c>
      <c r="X16" s="153">
        <v>225</v>
      </c>
      <c r="Y16" s="154">
        <v>868</v>
      </c>
      <c r="Z16" s="154">
        <v>313</v>
      </c>
      <c r="AA16" s="154">
        <v>882</v>
      </c>
      <c r="AB16" s="155">
        <v>2396</v>
      </c>
      <c r="AC16" s="154">
        <v>39</v>
      </c>
      <c r="AD16" s="154">
        <f t="shared" si="1"/>
        <v>179462.39999999997</v>
      </c>
      <c r="AE16" s="234">
        <f t="shared" si="2"/>
        <v>472.67500000000001</v>
      </c>
      <c r="AF16" s="234">
        <f t="shared" si="3"/>
        <v>135657.72500000001</v>
      </c>
      <c r="AG16" s="234">
        <f t="shared" si="4"/>
        <v>77187.827500000014</v>
      </c>
    </row>
    <row r="17" spans="1:33" s="204" customFormat="1">
      <c r="A17" s="145">
        <v>8</v>
      </c>
      <c r="B17" s="146" t="s">
        <v>13</v>
      </c>
      <c r="C17" s="146">
        <v>1974</v>
      </c>
      <c r="D17" s="146" t="s">
        <v>135</v>
      </c>
      <c r="E17" s="146">
        <v>5</v>
      </c>
      <c r="F17" s="146">
        <v>6</v>
      </c>
      <c r="G17" s="146"/>
      <c r="H17" s="146"/>
      <c r="I17" s="146">
        <v>86</v>
      </c>
      <c r="J17" s="146">
        <v>211</v>
      </c>
      <c r="K17" s="147">
        <v>1395.5</v>
      </c>
      <c r="L17" s="148"/>
      <c r="M17" s="147">
        <v>2856.2</v>
      </c>
      <c r="N17" s="147">
        <v>4133.6000000000004</v>
      </c>
      <c r="O17" s="147">
        <v>509.6</v>
      </c>
      <c r="P17" s="149">
        <f t="shared" si="0"/>
        <v>4643.2000000000007</v>
      </c>
      <c r="Q17" s="150">
        <v>544.9</v>
      </c>
      <c r="R17" s="150">
        <v>544.9</v>
      </c>
      <c r="S17" s="150">
        <v>544.9</v>
      </c>
      <c r="T17" s="147">
        <v>1101.4000000000001</v>
      </c>
      <c r="U17" s="147">
        <v>1127.7</v>
      </c>
      <c r="V17" s="151">
        <v>21</v>
      </c>
      <c r="W17" s="152">
        <v>31</v>
      </c>
      <c r="X17" s="153">
        <v>223</v>
      </c>
      <c r="Y17" s="154">
        <v>1391</v>
      </c>
      <c r="Z17" s="154">
        <v>208</v>
      </c>
      <c r="AA17" s="154">
        <v>2187</v>
      </c>
      <c r="AB17" s="155">
        <v>650</v>
      </c>
      <c r="AC17" s="154">
        <v>39</v>
      </c>
      <c r="AD17" s="154">
        <f t="shared" si="1"/>
        <v>181084.80000000002</v>
      </c>
      <c r="AE17" s="234">
        <f t="shared" si="2"/>
        <v>385.07499999999999</v>
      </c>
      <c r="AF17" s="234">
        <f t="shared" si="3"/>
        <v>110516.52499999999</v>
      </c>
      <c r="AG17" s="234">
        <f t="shared" si="4"/>
        <v>62882.747500000005</v>
      </c>
    </row>
    <row r="18" spans="1:33" s="204" customFormat="1">
      <c r="A18" s="145">
        <v>9</v>
      </c>
      <c r="B18" s="146" t="s">
        <v>14</v>
      </c>
      <c r="C18" s="146">
        <v>1979</v>
      </c>
      <c r="D18" s="146" t="s">
        <v>135</v>
      </c>
      <c r="E18" s="146">
        <v>5</v>
      </c>
      <c r="F18" s="146">
        <v>5</v>
      </c>
      <c r="G18" s="146"/>
      <c r="H18" s="146"/>
      <c r="I18" s="146">
        <v>73</v>
      </c>
      <c r="J18" s="146">
        <v>205</v>
      </c>
      <c r="K18" s="147">
        <v>1006.6</v>
      </c>
      <c r="L18" s="148"/>
      <c r="M18" s="147">
        <v>2233.3000000000002</v>
      </c>
      <c r="N18" s="147">
        <v>3395.3</v>
      </c>
      <c r="O18" s="147">
        <v>76.400000000000006</v>
      </c>
      <c r="P18" s="149">
        <f t="shared" si="0"/>
        <v>3471.7000000000003</v>
      </c>
      <c r="Q18" s="150">
        <v>468.2</v>
      </c>
      <c r="R18" s="150">
        <v>468.2</v>
      </c>
      <c r="S18" s="150">
        <v>392.3</v>
      </c>
      <c r="T18" s="147">
        <v>815.4</v>
      </c>
      <c r="U18" s="147">
        <v>827.8</v>
      </c>
      <c r="V18" s="151">
        <v>17.5</v>
      </c>
      <c r="W18" s="152">
        <v>26</v>
      </c>
      <c r="X18" s="153">
        <v>162</v>
      </c>
      <c r="Y18" s="154">
        <v>372</v>
      </c>
      <c r="Z18" s="154">
        <v>345</v>
      </c>
      <c r="AA18" s="154">
        <v>1796</v>
      </c>
      <c r="AB18" s="155">
        <v>528</v>
      </c>
      <c r="AC18" s="154">
        <v>34</v>
      </c>
      <c r="AD18" s="154">
        <f t="shared" si="1"/>
        <v>118037.8</v>
      </c>
      <c r="AE18" s="234">
        <f t="shared" si="2"/>
        <v>374.125</v>
      </c>
      <c r="AF18" s="234">
        <f t="shared" si="3"/>
        <v>107373.875</v>
      </c>
      <c r="AG18" s="234">
        <f t="shared" si="4"/>
        <v>61094.612500000003</v>
      </c>
    </row>
    <row r="19" spans="1:33" s="204" customFormat="1">
      <c r="A19" s="145">
        <v>10</v>
      </c>
      <c r="B19" s="146" t="s">
        <v>15</v>
      </c>
      <c r="C19" s="146">
        <v>1974</v>
      </c>
      <c r="D19" s="146" t="s">
        <v>135</v>
      </c>
      <c r="E19" s="146">
        <v>5</v>
      </c>
      <c r="F19" s="146">
        <v>8</v>
      </c>
      <c r="G19" s="146"/>
      <c r="H19" s="146"/>
      <c r="I19" s="146">
        <v>109</v>
      </c>
      <c r="J19" s="146">
        <v>338</v>
      </c>
      <c r="K19" s="147">
        <v>1682.4</v>
      </c>
      <c r="L19" s="148"/>
      <c r="M19" s="147">
        <v>3671.2</v>
      </c>
      <c r="N19" s="147">
        <v>5507</v>
      </c>
      <c r="O19" s="147"/>
      <c r="P19" s="149">
        <f t="shared" si="0"/>
        <v>5507</v>
      </c>
      <c r="Q19" s="150">
        <v>702.1</v>
      </c>
      <c r="R19" s="150">
        <v>702.1</v>
      </c>
      <c r="S19" s="150">
        <v>603.1</v>
      </c>
      <c r="T19" s="147">
        <v>1288.0999999999999</v>
      </c>
      <c r="U19" s="147">
        <v>1333.2</v>
      </c>
      <c r="V19" s="151">
        <v>28</v>
      </c>
      <c r="W19" s="152">
        <v>42</v>
      </c>
      <c r="X19" s="153">
        <v>208</v>
      </c>
      <c r="Y19" s="154">
        <v>658</v>
      </c>
      <c r="Z19" s="154">
        <v>201</v>
      </c>
      <c r="AA19" s="154">
        <v>1076</v>
      </c>
      <c r="AB19" s="155">
        <v>1970</v>
      </c>
      <c r="AC19" s="154">
        <v>39</v>
      </c>
      <c r="AD19" s="154">
        <f t="shared" si="1"/>
        <v>214773</v>
      </c>
      <c r="AE19" s="234">
        <f t="shared" si="2"/>
        <v>616.85</v>
      </c>
      <c r="AF19" s="234">
        <f t="shared" si="3"/>
        <v>177035.95</v>
      </c>
      <c r="AG19" s="234">
        <f t="shared" si="4"/>
        <v>100731.60500000001</v>
      </c>
    </row>
    <row r="20" spans="1:33" s="204" customFormat="1">
      <c r="A20" s="145">
        <v>11</v>
      </c>
      <c r="B20" s="146" t="s">
        <v>16</v>
      </c>
      <c r="C20" s="146">
        <v>1975</v>
      </c>
      <c r="D20" s="146" t="s">
        <v>135</v>
      </c>
      <c r="E20" s="146">
        <v>5</v>
      </c>
      <c r="F20" s="146">
        <v>8</v>
      </c>
      <c r="G20" s="146"/>
      <c r="H20" s="146"/>
      <c r="I20" s="146">
        <v>106</v>
      </c>
      <c r="J20" s="146">
        <v>286</v>
      </c>
      <c r="K20" s="147">
        <v>1682.4</v>
      </c>
      <c r="L20" s="148"/>
      <c r="M20" s="147">
        <v>3531.8</v>
      </c>
      <c r="N20" s="147">
        <v>5264.5</v>
      </c>
      <c r="O20" s="147">
        <v>239.8</v>
      </c>
      <c r="P20" s="149">
        <f t="shared" si="0"/>
        <v>5504.3</v>
      </c>
      <c r="Q20" s="150">
        <v>731.2</v>
      </c>
      <c r="R20" s="150">
        <v>731.2</v>
      </c>
      <c r="S20" s="150">
        <v>611.5</v>
      </c>
      <c r="T20" s="147">
        <v>1284</v>
      </c>
      <c r="U20" s="147">
        <v>1333.2</v>
      </c>
      <c r="V20" s="151">
        <v>25</v>
      </c>
      <c r="W20" s="152">
        <v>42</v>
      </c>
      <c r="X20" s="153">
        <v>180</v>
      </c>
      <c r="Y20" s="154">
        <v>678</v>
      </c>
      <c r="Z20" s="154">
        <v>136</v>
      </c>
      <c r="AA20" s="154">
        <v>936</v>
      </c>
      <c r="AB20" s="155">
        <v>2280</v>
      </c>
      <c r="AC20" s="154">
        <v>38</v>
      </c>
      <c r="AD20" s="154">
        <f t="shared" si="1"/>
        <v>209163.4</v>
      </c>
      <c r="AE20" s="234">
        <f t="shared" si="2"/>
        <v>521.94999999999993</v>
      </c>
      <c r="AF20" s="234">
        <f t="shared" si="3"/>
        <v>149799.65</v>
      </c>
      <c r="AG20" s="234">
        <f t="shared" si="4"/>
        <v>85234.434999999998</v>
      </c>
    </row>
    <row r="21" spans="1:33" s="204" customFormat="1">
      <c r="A21" s="145">
        <v>12</v>
      </c>
      <c r="B21" s="146" t="s">
        <v>17</v>
      </c>
      <c r="C21" s="146">
        <v>1977</v>
      </c>
      <c r="D21" s="146" t="s">
        <v>137</v>
      </c>
      <c r="E21" s="146">
        <v>5</v>
      </c>
      <c r="F21" s="146">
        <v>1</v>
      </c>
      <c r="G21" s="146"/>
      <c r="H21" s="146"/>
      <c r="I21" s="146">
        <v>13</v>
      </c>
      <c r="J21" s="146">
        <v>44</v>
      </c>
      <c r="K21" s="147">
        <v>0</v>
      </c>
      <c r="L21" s="148">
        <v>352.5</v>
      </c>
      <c r="M21" s="147">
        <v>474.7</v>
      </c>
      <c r="N21" s="147">
        <v>775.9</v>
      </c>
      <c r="O21" s="147">
        <v>119</v>
      </c>
      <c r="P21" s="149">
        <f t="shared" si="0"/>
        <v>894.9</v>
      </c>
      <c r="Q21" s="150">
        <f>88.9+37.3-37.3</f>
        <v>88.9</v>
      </c>
      <c r="R21" s="150">
        <f>88.9+37.3</f>
        <v>126.2</v>
      </c>
      <c r="S21" s="150">
        <f>75.6+37.3</f>
        <v>112.89999999999999</v>
      </c>
      <c r="T21" s="147">
        <v>207.7</v>
      </c>
      <c r="U21" s="147">
        <v>0</v>
      </c>
      <c r="V21" s="151">
        <f>19.5+3.2</f>
        <v>22.7</v>
      </c>
      <c r="W21" s="152">
        <v>6</v>
      </c>
      <c r="X21" s="153">
        <v>18</v>
      </c>
      <c r="Y21" s="154">
        <v>166</v>
      </c>
      <c r="Z21" s="154">
        <v>64</v>
      </c>
      <c r="AA21" s="154">
        <v>122</v>
      </c>
      <c r="AB21" s="155">
        <v>0</v>
      </c>
      <c r="AC21" s="154">
        <v>36</v>
      </c>
      <c r="AD21" s="154">
        <f t="shared" si="1"/>
        <v>32216.399999999998</v>
      </c>
      <c r="AE21" s="234">
        <f t="shared" si="2"/>
        <v>80.3</v>
      </c>
      <c r="AF21" s="234">
        <f t="shared" si="3"/>
        <v>23046.1</v>
      </c>
      <c r="AG21" s="234">
        <f t="shared" si="4"/>
        <v>13112.99</v>
      </c>
    </row>
    <row r="22" spans="1:33" s="204" customFormat="1">
      <c r="A22" s="145">
        <v>13</v>
      </c>
      <c r="B22" s="146" t="s">
        <v>18</v>
      </c>
      <c r="C22" s="146">
        <v>1974</v>
      </c>
      <c r="D22" s="154" t="s">
        <v>138</v>
      </c>
      <c r="E22" s="146">
        <v>5</v>
      </c>
      <c r="F22" s="146">
        <v>4</v>
      </c>
      <c r="G22" s="146"/>
      <c r="H22" s="146"/>
      <c r="I22" s="146">
        <v>60</v>
      </c>
      <c r="J22" s="146">
        <v>175</v>
      </c>
      <c r="K22" s="147">
        <v>0</v>
      </c>
      <c r="L22" s="148">
        <v>923.3</v>
      </c>
      <c r="M22" s="147">
        <v>1914</v>
      </c>
      <c r="N22" s="147">
        <v>2966.1</v>
      </c>
      <c r="O22" s="147">
        <v>470.8</v>
      </c>
      <c r="P22" s="149">
        <f t="shared" si="0"/>
        <v>3436.9</v>
      </c>
      <c r="Q22" s="150">
        <f>360.6+5.2+5.2</f>
        <v>371</v>
      </c>
      <c r="R22" s="150">
        <f>360.6+5.2+5.2</f>
        <v>371</v>
      </c>
      <c r="S22" s="150">
        <f>360.6+5.2+5.2</f>
        <v>371</v>
      </c>
      <c r="T22" s="147">
        <v>773.4</v>
      </c>
      <c r="U22" s="147">
        <v>0</v>
      </c>
      <c r="V22" s="151">
        <v>16</v>
      </c>
      <c r="W22" s="152">
        <v>21</v>
      </c>
      <c r="X22" s="153">
        <v>141</v>
      </c>
      <c r="Y22" s="154">
        <v>596</v>
      </c>
      <c r="Z22" s="154">
        <v>117</v>
      </c>
      <c r="AA22" s="154">
        <v>494</v>
      </c>
      <c r="AB22" s="155">
        <v>2262</v>
      </c>
      <c r="AC22" s="154">
        <v>39</v>
      </c>
      <c r="AD22" s="154">
        <f t="shared" si="1"/>
        <v>134039.1</v>
      </c>
      <c r="AE22" s="234">
        <f t="shared" si="2"/>
        <v>319.375</v>
      </c>
      <c r="AF22" s="234">
        <f t="shared" si="3"/>
        <v>91660.625</v>
      </c>
      <c r="AG22" s="234">
        <f t="shared" si="4"/>
        <v>52153.9375</v>
      </c>
    </row>
    <row r="23" spans="1:33" s="204" customFormat="1">
      <c r="A23" s="145">
        <v>14</v>
      </c>
      <c r="B23" s="146" t="s">
        <v>19</v>
      </c>
      <c r="C23" s="146">
        <v>1974</v>
      </c>
      <c r="D23" s="146" t="s">
        <v>135</v>
      </c>
      <c r="E23" s="146">
        <v>5</v>
      </c>
      <c r="F23" s="146">
        <v>4</v>
      </c>
      <c r="G23" s="146"/>
      <c r="H23" s="146"/>
      <c r="I23" s="146">
        <v>66</v>
      </c>
      <c r="J23" s="146">
        <v>207</v>
      </c>
      <c r="K23" s="147">
        <v>861</v>
      </c>
      <c r="L23" s="148"/>
      <c r="M23" s="147">
        <v>2107.1999999999998</v>
      </c>
      <c r="N23" s="147">
        <v>3133.1</v>
      </c>
      <c r="O23" s="147">
        <v>199.9</v>
      </c>
      <c r="P23" s="149">
        <f t="shared" si="0"/>
        <v>3333</v>
      </c>
      <c r="Q23" s="150">
        <f>328.6+17</f>
        <v>345.6</v>
      </c>
      <c r="R23" s="150">
        <f>328.6+17</f>
        <v>345.6</v>
      </c>
      <c r="S23" s="150">
        <f>328.6+17</f>
        <v>345.6</v>
      </c>
      <c r="T23" s="147">
        <v>718.6</v>
      </c>
      <c r="U23" s="147">
        <v>839.7</v>
      </c>
      <c r="V23" s="151">
        <v>14</v>
      </c>
      <c r="W23" s="152">
        <v>21</v>
      </c>
      <c r="X23" s="153">
        <v>101</v>
      </c>
      <c r="Y23" s="154">
        <v>699</v>
      </c>
      <c r="Z23" s="154">
        <v>192</v>
      </c>
      <c r="AA23" s="154">
        <v>1219</v>
      </c>
      <c r="AB23" s="155">
        <v>2762</v>
      </c>
      <c r="AC23" s="154">
        <v>39</v>
      </c>
      <c r="AD23" s="154">
        <f t="shared" si="1"/>
        <v>129987</v>
      </c>
      <c r="AE23" s="234">
        <f t="shared" si="2"/>
        <v>377.77499999999998</v>
      </c>
      <c r="AF23" s="234">
        <f t="shared" si="3"/>
        <v>108421.42499999999</v>
      </c>
      <c r="AG23" s="234">
        <f t="shared" si="4"/>
        <v>61690.657500000001</v>
      </c>
    </row>
    <row r="24" spans="1:33" s="204" customFormat="1">
      <c r="A24" s="145">
        <v>15</v>
      </c>
      <c r="B24" s="146" t="s">
        <v>20</v>
      </c>
      <c r="C24" s="146">
        <v>1974</v>
      </c>
      <c r="D24" s="146" t="s">
        <v>139</v>
      </c>
      <c r="E24" s="146">
        <v>5</v>
      </c>
      <c r="F24" s="146">
        <v>4</v>
      </c>
      <c r="G24" s="146"/>
      <c r="H24" s="146"/>
      <c r="I24" s="146">
        <v>64</v>
      </c>
      <c r="J24" s="146">
        <v>199</v>
      </c>
      <c r="K24" s="147">
        <v>0</v>
      </c>
      <c r="L24" s="148">
        <v>923.3</v>
      </c>
      <c r="M24" s="147">
        <v>2169.1</v>
      </c>
      <c r="N24" s="147">
        <v>3255.5</v>
      </c>
      <c r="O24" s="147">
        <v>126.8</v>
      </c>
      <c r="P24" s="149">
        <f t="shared" si="0"/>
        <v>3382.3</v>
      </c>
      <c r="Q24" s="150">
        <v>360.6</v>
      </c>
      <c r="R24" s="150">
        <v>360.6</v>
      </c>
      <c r="S24" s="150">
        <v>360.6</v>
      </c>
      <c r="T24" s="147">
        <v>756.2</v>
      </c>
      <c r="U24" s="147">
        <v>0</v>
      </c>
      <c r="V24" s="151">
        <v>16</v>
      </c>
      <c r="W24" s="152">
        <v>21</v>
      </c>
      <c r="X24" s="153">
        <v>151</v>
      </c>
      <c r="Y24" s="154">
        <v>300</v>
      </c>
      <c r="Z24" s="154">
        <v>72</v>
      </c>
      <c r="AA24" s="154">
        <v>480</v>
      </c>
      <c r="AB24" s="155">
        <v>2262</v>
      </c>
      <c r="AC24" s="154">
        <v>39</v>
      </c>
      <c r="AD24" s="154">
        <f t="shared" si="1"/>
        <v>131909.70000000001</v>
      </c>
      <c r="AE24" s="234">
        <f t="shared" si="2"/>
        <v>363.17500000000001</v>
      </c>
      <c r="AF24" s="234">
        <f t="shared" si="3"/>
        <v>104231.22500000001</v>
      </c>
      <c r="AG24" s="234">
        <f t="shared" si="4"/>
        <v>59306.477500000008</v>
      </c>
    </row>
    <row r="25" spans="1:33" s="204" customFormat="1">
      <c r="A25" s="145">
        <v>16</v>
      </c>
      <c r="B25" s="146" t="s">
        <v>21</v>
      </c>
      <c r="C25" s="146">
        <v>1974</v>
      </c>
      <c r="D25" s="146" t="s">
        <v>135</v>
      </c>
      <c r="E25" s="146">
        <v>5</v>
      </c>
      <c r="F25" s="146">
        <v>4</v>
      </c>
      <c r="G25" s="146"/>
      <c r="H25" s="146"/>
      <c r="I25" s="146">
        <v>65</v>
      </c>
      <c r="J25" s="146">
        <v>208</v>
      </c>
      <c r="K25" s="147">
        <v>1150.3</v>
      </c>
      <c r="L25" s="148"/>
      <c r="M25" s="147">
        <v>2167.3000000000002</v>
      </c>
      <c r="N25" s="147">
        <v>3214.4</v>
      </c>
      <c r="O25" s="147">
        <v>62.7</v>
      </c>
      <c r="P25" s="149">
        <f t="shared" si="0"/>
        <v>3277.1</v>
      </c>
      <c r="Q25" s="150">
        <v>369.8</v>
      </c>
      <c r="R25" s="150">
        <v>369.8</v>
      </c>
      <c r="S25" s="150">
        <v>369.8</v>
      </c>
      <c r="T25" s="147">
        <v>740.4</v>
      </c>
      <c r="U25" s="147">
        <v>784</v>
      </c>
      <c r="V25" s="151">
        <v>14</v>
      </c>
      <c r="W25" s="152">
        <v>21</v>
      </c>
      <c r="X25" s="153">
        <v>157</v>
      </c>
      <c r="Y25" s="154">
        <v>404</v>
      </c>
      <c r="Z25" s="154">
        <v>354</v>
      </c>
      <c r="AA25" s="154">
        <v>688</v>
      </c>
      <c r="AB25" s="155">
        <v>0</v>
      </c>
      <c r="AC25" s="154">
        <v>39</v>
      </c>
      <c r="AD25" s="154">
        <f t="shared" si="1"/>
        <v>127806.9</v>
      </c>
      <c r="AE25" s="234">
        <f t="shared" si="2"/>
        <v>379.59999999999997</v>
      </c>
      <c r="AF25" s="234">
        <f t="shared" si="3"/>
        <v>108945.2</v>
      </c>
      <c r="AG25" s="234">
        <f t="shared" si="4"/>
        <v>61988.68</v>
      </c>
    </row>
    <row r="26" spans="1:33" s="204" customFormat="1">
      <c r="A26" s="145">
        <v>17</v>
      </c>
      <c r="B26" s="146" t="s">
        <v>22</v>
      </c>
      <c r="C26" s="146">
        <v>1975</v>
      </c>
      <c r="D26" s="146" t="s">
        <v>135</v>
      </c>
      <c r="E26" s="146">
        <v>5</v>
      </c>
      <c r="F26" s="146">
        <v>6</v>
      </c>
      <c r="G26" s="146"/>
      <c r="H26" s="146"/>
      <c r="I26" s="146">
        <v>93</v>
      </c>
      <c r="J26" s="146">
        <v>304</v>
      </c>
      <c r="K26" s="147">
        <v>1431.4</v>
      </c>
      <c r="L26" s="148"/>
      <c r="M26" s="147">
        <v>3165.6</v>
      </c>
      <c r="N26" s="147">
        <v>4653</v>
      </c>
      <c r="O26" s="147"/>
      <c r="P26" s="149">
        <f t="shared" si="0"/>
        <v>4653</v>
      </c>
      <c r="Q26" s="150">
        <v>563.70000000000005</v>
      </c>
      <c r="R26" s="150">
        <v>563.70000000000005</v>
      </c>
      <c r="S26" s="150">
        <v>563.70000000000005</v>
      </c>
      <c r="T26" s="147">
        <v>1001.6</v>
      </c>
      <c r="U26" s="147">
        <v>1145.4000000000001</v>
      </c>
      <c r="V26" s="151">
        <v>21</v>
      </c>
      <c r="W26" s="152">
        <v>31</v>
      </c>
      <c r="X26" s="153">
        <v>207</v>
      </c>
      <c r="Y26" s="154">
        <v>384</v>
      </c>
      <c r="Z26" s="154">
        <v>183</v>
      </c>
      <c r="AA26" s="154">
        <v>3263</v>
      </c>
      <c r="AB26" s="155">
        <v>0</v>
      </c>
      <c r="AC26" s="154">
        <v>38</v>
      </c>
      <c r="AD26" s="154">
        <f t="shared" si="1"/>
        <v>176814</v>
      </c>
      <c r="AE26" s="234">
        <f t="shared" si="2"/>
        <v>554.79999999999995</v>
      </c>
      <c r="AF26" s="234">
        <f t="shared" si="3"/>
        <v>159227.59999999998</v>
      </c>
      <c r="AG26" s="234">
        <f t="shared" si="4"/>
        <v>90598.84</v>
      </c>
    </row>
    <row r="27" spans="1:33" s="204" customFormat="1">
      <c r="A27" s="145">
        <v>18</v>
      </c>
      <c r="B27" s="146" t="s">
        <v>23</v>
      </c>
      <c r="C27" s="146">
        <v>1974</v>
      </c>
      <c r="D27" s="146" t="s">
        <v>135</v>
      </c>
      <c r="E27" s="146">
        <v>5</v>
      </c>
      <c r="F27" s="146">
        <v>4</v>
      </c>
      <c r="G27" s="146"/>
      <c r="H27" s="146"/>
      <c r="I27" s="146">
        <v>66</v>
      </c>
      <c r="J27" s="146">
        <v>202</v>
      </c>
      <c r="K27" s="147">
        <v>1150.3</v>
      </c>
      <c r="L27" s="148"/>
      <c r="M27" s="147">
        <v>2180.1</v>
      </c>
      <c r="N27" s="147">
        <v>3257.9</v>
      </c>
      <c r="O27" s="147"/>
      <c r="P27" s="149">
        <f t="shared" si="0"/>
        <v>3257.9</v>
      </c>
      <c r="Q27" s="150">
        <v>379.7</v>
      </c>
      <c r="R27" s="150">
        <v>379.7</v>
      </c>
      <c r="S27" s="150">
        <v>379.7</v>
      </c>
      <c r="T27" s="147">
        <v>750.9</v>
      </c>
      <c r="U27" s="147">
        <v>784</v>
      </c>
      <c r="V27" s="151">
        <v>14</v>
      </c>
      <c r="W27" s="152">
        <v>21</v>
      </c>
      <c r="X27" s="153">
        <v>157</v>
      </c>
      <c r="Y27" s="154">
        <v>292</v>
      </c>
      <c r="Z27" s="154">
        <v>980</v>
      </c>
      <c r="AA27" s="154">
        <v>2488</v>
      </c>
      <c r="AB27" s="155">
        <v>168</v>
      </c>
      <c r="AC27" s="154">
        <v>39</v>
      </c>
      <c r="AD27" s="154">
        <f t="shared" si="1"/>
        <v>127058.1</v>
      </c>
      <c r="AE27" s="234">
        <f t="shared" si="2"/>
        <v>368.65</v>
      </c>
      <c r="AF27" s="234">
        <f t="shared" si="3"/>
        <v>105802.54999999999</v>
      </c>
      <c r="AG27" s="234">
        <f t="shared" si="4"/>
        <v>60200.544999999998</v>
      </c>
    </row>
    <row r="28" spans="1:33" s="204" customFormat="1">
      <c r="A28" s="145">
        <v>19</v>
      </c>
      <c r="B28" s="146" t="s">
        <v>24</v>
      </c>
      <c r="C28" s="146">
        <v>1975</v>
      </c>
      <c r="D28" s="146" t="s">
        <v>135</v>
      </c>
      <c r="E28" s="146">
        <v>5</v>
      </c>
      <c r="F28" s="146">
        <v>6</v>
      </c>
      <c r="G28" s="146"/>
      <c r="H28" s="146"/>
      <c r="I28" s="146">
        <v>94</v>
      </c>
      <c r="J28" s="146">
        <v>283</v>
      </c>
      <c r="K28" s="147">
        <v>1406.7</v>
      </c>
      <c r="L28" s="148"/>
      <c r="M28" s="147">
        <v>3146.9</v>
      </c>
      <c r="N28" s="147">
        <v>4621.1000000000004</v>
      </c>
      <c r="O28" s="147"/>
      <c r="P28" s="149">
        <f t="shared" si="0"/>
        <v>4621.1000000000004</v>
      </c>
      <c r="Q28" s="150">
        <v>565</v>
      </c>
      <c r="R28" s="150">
        <v>565</v>
      </c>
      <c r="S28" s="150">
        <v>565</v>
      </c>
      <c r="T28" s="147">
        <v>1001.4</v>
      </c>
      <c r="U28" s="147">
        <v>1145</v>
      </c>
      <c r="V28" s="151">
        <v>21</v>
      </c>
      <c r="W28" s="152">
        <v>31</v>
      </c>
      <c r="X28" s="153">
        <v>207</v>
      </c>
      <c r="Y28" s="154">
        <v>494</v>
      </c>
      <c r="Z28" s="154">
        <v>183</v>
      </c>
      <c r="AA28" s="154">
        <v>3263</v>
      </c>
      <c r="AB28" s="155">
        <v>0</v>
      </c>
      <c r="AC28" s="154">
        <v>38</v>
      </c>
      <c r="AD28" s="154">
        <f t="shared" si="1"/>
        <v>175601.80000000002</v>
      </c>
      <c r="AE28" s="234">
        <f t="shared" si="2"/>
        <v>516.47500000000002</v>
      </c>
      <c r="AF28" s="234">
        <f t="shared" si="3"/>
        <v>148228.32500000001</v>
      </c>
      <c r="AG28" s="234">
        <f t="shared" si="4"/>
        <v>84340.367500000008</v>
      </c>
    </row>
    <row r="29" spans="1:33" s="204" customFormat="1">
      <c r="A29" s="145">
        <v>20</v>
      </c>
      <c r="B29" s="146" t="s">
        <v>25</v>
      </c>
      <c r="C29" s="146">
        <v>1974</v>
      </c>
      <c r="D29" s="146" t="s">
        <v>135</v>
      </c>
      <c r="E29" s="146">
        <v>5</v>
      </c>
      <c r="F29" s="146">
        <v>4</v>
      </c>
      <c r="G29" s="146"/>
      <c r="H29" s="146"/>
      <c r="I29" s="146">
        <v>65</v>
      </c>
      <c r="J29" s="146">
        <v>205</v>
      </c>
      <c r="K29" s="147">
        <v>1150.3</v>
      </c>
      <c r="L29" s="148"/>
      <c r="M29" s="147">
        <v>2187.5</v>
      </c>
      <c r="N29" s="147">
        <v>3250.9</v>
      </c>
      <c r="O29" s="147">
        <v>60.2</v>
      </c>
      <c r="P29" s="149">
        <f t="shared" si="0"/>
        <v>3311.1</v>
      </c>
      <c r="Q29" s="150">
        <v>368.4</v>
      </c>
      <c r="R29" s="150">
        <v>368.4</v>
      </c>
      <c r="S29" s="150">
        <v>368.4</v>
      </c>
      <c r="T29" s="147">
        <v>749.9</v>
      </c>
      <c r="U29" s="147">
        <v>784</v>
      </c>
      <c r="V29" s="151">
        <v>14</v>
      </c>
      <c r="W29" s="152">
        <v>21</v>
      </c>
      <c r="X29" s="153">
        <v>130</v>
      </c>
      <c r="Y29" s="154">
        <v>292</v>
      </c>
      <c r="Z29" s="154">
        <v>902</v>
      </c>
      <c r="AA29" s="154">
        <v>2672</v>
      </c>
      <c r="AB29" s="155">
        <v>0</v>
      </c>
      <c r="AC29" s="154">
        <v>39</v>
      </c>
      <c r="AD29" s="154">
        <f t="shared" si="1"/>
        <v>129132.9</v>
      </c>
      <c r="AE29" s="234">
        <f t="shared" si="2"/>
        <v>374.125</v>
      </c>
      <c r="AF29" s="234">
        <f t="shared" si="3"/>
        <v>107373.875</v>
      </c>
      <c r="AG29" s="234">
        <f t="shared" si="4"/>
        <v>61094.612500000003</v>
      </c>
    </row>
    <row r="30" spans="1:33" s="204" customFormat="1">
      <c r="A30" s="145">
        <v>21</v>
      </c>
      <c r="B30" s="146" t="s">
        <v>26</v>
      </c>
      <c r="C30" s="146">
        <v>1975</v>
      </c>
      <c r="D30" s="154" t="s">
        <v>138</v>
      </c>
      <c r="E30" s="146">
        <v>5</v>
      </c>
      <c r="F30" s="146">
        <v>4</v>
      </c>
      <c r="G30" s="146"/>
      <c r="H30" s="146"/>
      <c r="I30" s="146">
        <v>57</v>
      </c>
      <c r="J30" s="146">
        <v>166</v>
      </c>
      <c r="K30" s="147"/>
      <c r="L30" s="148">
        <v>923.3</v>
      </c>
      <c r="M30" s="147">
        <v>1811</v>
      </c>
      <c r="N30" s="147">
        <v>2795.3</v>
      </c>
      <c r="O30" s="147">
        <f>52.6+119.2+139.1+62.3+74.1+49.6+59.8</f>
        <v>556.69999999999993</v>
      </c>
      <c r="P30" s="149">
        <f t="shared" si="0"/>
        <v>3352</v>
      </c>
      <c r="Q30" s="150">
        <v>376.9</v>
      </c>
      <c r="R30" s="150">
        <v>376.9</v>
      </c>
      <c r="S30" s="150">
        <v>376.9</v>
      </c>
      <c r="T30" s="147">
        <v>771.4</v>
      </c>
      <c r="U30" s="147">
        <v>0</v>
      </c>
      <c r="V30" s="151">
        <v>14</v>
      </c>
      <c r="W30" s="152">
        <v>21</v>
      </c>
      <c r="X30" s="153">
        <v>145</v>
      </c>
      <c r="Y30" s="154">
        <v>460</v>
      </c>
      <c r="Z30" s="154">
        <v>109</v>
      </c>
      <c r="AA30" s="154">
        <v>1801</v>
      </c>
      <c r="AB30" s="155">
        <v>0</v>
      </c>
      <c r="AC30" s="154">
        <v>38</v>
      </c>
      <c r="AD30" s="154">
        <f t="shared" si="1"/>
        <v>127376</v>
      </c>
      <c r="AE30" s="234">
        <f t="shared" si="2"/>
        <v>302.95</v>
      </c>
      <c r="AF30" s="234">
        <f t="shared" si="3"/>
        <v>86946.65</v>
      </c>
      <c r="AG30" s="234">
        <f t="shared" si="4"/>
        <v>49471.735000000001</v>
      </c>
    </row>
    <row r="31" spans="1:33" s="204" customFormat="1">
      <c r="A31" s="145">
        <v>22</v>
      </c>
      <c r="B31" s="146" t="s">
        <v>27</v>
      </c>
      <c r="C31" s="146">
        <v>1975</v>
      </c>
      <c r="D31" s="154" t="s">
        <v>138</v>
      </c>
      <c r="E31" s="146">
        <v>5</v>
      </c>
      <c r="F31" s="146">
        <v>4</v>
      </c>
      <c r="G31" s="146"/>
      <c r="H31" s="146"/>
      <c r="I31" s="146">
        <v>70</v>
      </c>
      <c r="J31" s="146">
        <v>202</v>
      </c>
      <c r="K31" s="147"/>
      <c r="L31" s="148">
        <v>923.3</v>
      </c>
      <c r="M31" s="147">
        <v>2330.6</v>
      </c>
      <c r="N31" s="147">
        <v>3448.1</v>
      </c>
      <c r="O31" s="147"/>
      <c r="P31" s="149">
        <f t="shared" si="0"/>
        <v>3448.1</v>
      </c>
      <c r="Q31" s="150">
        <v>325.7</v>
      </c>
      <c r="R31" s="150">
        <v>325.7</v>
      </c>
      <c r="S31" s="150">
        <v>325.7</v>
      </c>
      <c r="T31" s="147">
        <v>767.6</v>
      </c>
      <c r="U31" s="147">
        <v>0</v>
      </c>
      <c r="V31" s="151">
        <v>14</v>
      </c>
      <c r="W31" s="152">
        <v>21</v>
      </c>
      <c r="X31" s="153">
        <v>167</v>
      </c>
      <c r="Y31" s="154">
        <v>404</v>
      </c>
      <c r="Z31" s="154">
        <v>90</v>
      </c>
      <c r="AA31" s="154">
        <v>668</v>
      </c>
      <c r="AB31" s="155">
        <v>2000</v>
      </c>
      <c r="AC31" s="154">
        <v>38</v>
      </c>
      <c r="AD31" s="154">
        <f t="shared" si="1"/>
        <v>131027.8</v>
      </c>
      <c r="AE31" s="234">
        <f t="shared" si="2"/>
        <v>368.65</v>
      </c>
      <c r="AF31" s="234">
        <f t="shared" si="3"/>
        <v>105802.54999999999</v>
      </c>
      <c r="AG31" s="234">
        <f t="shared" si="4"/>
        <v>60200.544999999998</v>
      </c>
    </row>
    <row r="32" spans="1:33" s="204" customFormat="1">
      <c r="A32" s="145">
        <v>23</v>
      </c>
      <c r="B32" s="146" t="s">
        <v>28</v>
      </c>
      <c r="C32" s="146">
        <v>1975</v>
      </c>
      <c r="D32" s="154" t="s">
        <v>138</v>
      </c>
      <c r="E32" s="146">
        <v>5</v>
      </c>
      <c r="F32" s="146">
        <v>4</v>
      </c>
      <c r="G32" s="146"/>
      <c r="H32" s="146"/>
      <c r="I32" s="146">
        <v>64</v>
      </c>
      <c r="J32" s="146">
        <v>180</v>
      </c>
      <c r="K32" s="147"/>
      <c r="L32" s="148">
        <v>923.3</v>
      </c>
      <c r="M32" s="147">
        <v>2167.6</v>
      </c>
      <c r="N32" s="147">
        <v>3264.6</v>
      </c>
      <c r="O32" s="147">
        <v>126.2</v>
      </c>
      <c r="P32" s="149">
        <f t="shared" si="0"/>
        <v>3390.7999999999997</v>
      </c>
      <c r="Q32" s="150">
        <v>390.7</v>
      </c>
      <c r="R32" s="150">
        <v>390.7</v>
      </c>
      <c r="S32" s="150">
        <v>390.7</v>
      </c>
      <c r="T32" s="147">
        <v>785.1</v>
      </c>
      <c r="U32" s="147">
        <v>0</v>
      </c>
      <c r="V32" s="151">
        <v>14</v>
      </c>
      <c r="W32" s="152">
        <v>21</v>
      </c>
      <c r="X32" s="153">
        <v>130</v>
      </c>
      <c r="Y32" s="154">
        <v>440</v>
      </c>
      <c r="Z32" s="154">
        <v>74</v>
      </c>
      <c r="AA32" s="154">
        <v>812</v>
      </c>
      <c r="AB32" s="155">
        <v>1324</v>
      </c>
      <c r="AC32" s="154">
        <v>38</v>
      </c>
      <c r="AD32" s="154">
        <f t="shared" si="1"/>
        <v>128850.4</v>
      </c>
      <c r="AE32" s="234">
        <f t="shared" si="2"/>
        <v>328.5</v>
      </c>
      <c r="AF32" s="234">
        <f t="shared" si="3"/>
        <v>94279.5</v>
      </c>
      <c r="AG32" s="234">
        <f t="shared" si="4"/>
        <v>53644.05</v>
      </c>
    </row>
    <row r="33" spans="1:35" s="204" customFormat="1">
      <c r="A33" s="145">
        <v>24</v>
      </c>
      <c r="B33" s="146" t="s">
        <v>29</v>
      </c>
      <c r="C33" s="146">
        <v>1975</v>
      </c>
      <c r="D33" s="154" t="s">
        <v>138</v>
      </c>
      <c r="E33" s="146">
        <v>5</v>
      </c>
      <c r="F33" s="146">
        <v>4</v>
      </c>
      <c r="G33" s="146"/>
      <c r="H33" s="146"/>
      <c r="I33" s="146">
        <v>70</v>
      </c>
      <c r="J33" s="146">
        <v>209</v>
      </c>
      <c r="K33" s="147"/>
      <c r="L33" s="148">
        <v>923.3</v>
      </c>
      <c r="M33" s="147">
        <v>2335.5</v>
      </c>
      <c r="N33" s="147">
        <v>3431.5</v>
      </c>
      <c r="O33" s="147"/>
      <c r="P33" s="149">
        <f t="shared" si="0"/>
        <v>3431.5</v>
      </c>
      <c r="Q33" s="150">
        <f>23.2+309.1</f>
        <v>332.3</v>
      </c>
      <c r="R33" s="150">
        <f>23.2+309.1</f>
        <v>332.3</v>
      </c>
      <c r="S33" s="150">
        <f>23.2+309.1</f>
        <v>332.3</v>
      </c>
      <c r="T33" s="147">
        <v>766.7</v>
      </c>
      <c r="U33" s="147">
        <v>0</v>
      </c>
      <c r="V33" s="151">
        <v>14</v>
      </c>
      <c r="W33" s="152">
        <v>21</v>
      </c>
      <c r="X33" s="153">
        <v>173</v>
      </c>
      <c r="Y33" s="154">
        <v>416</v>
      </c>
      <c r="Z33" s="154">
        <v>141</v>
      </c>
      <c r="AA33" s="154">
        <v>538</v>
      </c>
      <c r="AB33" s="155">
        <v>1805</v>
      </c>
      <c r="AC33" s="154">
        <v>38</v>
      </c>
      <c r="AD33" s="154">
        <f t="shared" si="1"/>
        <v>130397</v>
      </c>
      <c r="AE33" s="234">
        <f t="shared" si="2"/>
        <v>381.42500000000001</v>
      </c>
      <c r="AF33" s="234">
        <f t="shared" si="3"/>
        <v>109468.97500000001</v>
      </c>
      <c r="AG33" s="234">
        <f t="shared" si="4"/>
        <v>62286.702500000007</v>
      </c>
    </row>
    <row r="34" spans="1:35" s="204" customFormat="1">
      <c r="A34" s="145">
        <v>25</v>
      </c>
      <c r="B34" s="146" t="s">
        <v>30</v>
      </c>
      <c r="C34" s="146">
        <v>1978</v>
      </c>
      <c r="D34" s="146" t="s">
        <v>137</v>
      </c>
      <c r="E34" s="146">
        <v>5</v>
      </c>
      <c r="F34" s="146">
        <v>1</v>
      </c>
      <c r="G34" s="146"/>
      <c r="H34" s="146"/>
      <c r="I34" s="146">
        <v>12</v>
      </c>
      <c r="J34" s="146">
        <v>30</v>
      </c>
      <c r="K34" s="147"/>
      <c r="L34" s="148">
        <v>355.5</v>
      </c>
      <c r="M34" s="147">
        <v>468.4</v>
      </c>
      <c r="N34" s="147">
        <v>751.1</v>
      </c>
      <c r="O34" s="147">
        <f>66.4+126.9</f>
        <v>193.3</v>
      </c>
      <c r="P34" s="149">
        <f t="shared" si="0"/>
        <v>944.40000000000009</v>
      </c>
      <c r="Q34" s="150">
        <f>84.4+27.8-21</f>
        <v>91.2</v>
      </c>
      <c r="R34" s="150">
        <f>84.4+27.8</f>
        <v>112.2</v>
      </c>
      <c r="S34" s="150">
        <f>84.4+27.8</f>
        <v>112.2</v>
      </c>
      <c r="T34" s="147">
        <v>215</v>
      </c>
      <c r="U34" s="147">
        <v>0</v>
      </c>
      <c r="V34" s="151">
        <v>22.9</v>
      </c>
      <c r="W34" s="152">
        <v>6</v>
      </c>
      <c r="X34" s="153">
        <v>11</v>
      </c>
      <c r="Y34" s="154">
        <v>80</v>
      </c>
      <c r="Z34" s="154">
        <v>17</v>
      </c>
      <c r="AA34" s="154">
        <v>86</v>
      </c>
      <c r="AB34" s="155">
        <v>0</v>
      </c>
      <c r="AC34" s="154">
        <v>35</v>
      </c>
      <c r="AD34" s="154">
        <f t="shared" si="1"/>
        <v>33054</v>
      </c>
      <c r="AE34" s="234">
        <f t="shared" si="2"/>
        <v>54.75</v>
      </c>
      <c r="AF34" s="234">
        <f t="shared" si="3"/>
        <v>15713.25</v>
      </c>
      <c r="AG34" s="234">
        <f t="shared" si="4"/>
        <v>8940.6750000000011</v>
      </c>
    </row>
    <row r="35" spans="1:35" s="204" customFormat="1">
      <c r="A35" s="145">
        <v>26</v>
      </c>
      <c r="B35" s="146" t="s">
        <v>32</v>
      </c>
      <c r="C35" s="146">
        <v>1975</v>
      </c>
      <c r="D35" s="154" t="s">
        <v>138</v>
      </c>
      <c r="E35" s="146">
        <v>5</v>
      </c>
      <c r="F35" s="146">
        <v>4</v>
      </c>
      <c r="G35" s="146"/>
      <c r="H35" s="146"/>
      <c r="I35" s="146">
        <v>63</v>
      </c>
      <c r="J35" s="146">
        <v>191</v>
      </c>
      <c r="K35" s="147">
        <v>927.9</v>
      </c>
      <c r="L35" s="148">
        <v>0</v>
      </c>
      <c r="M35" s="147">
        <v>2060.48</v>
      </c>
      <c r="N35" s="147">
        <v>3015.3</v>
      </c>
      <c r="O35" s="147">
        <v>333</v>
      </c>
      <c r="P35" s="149">
        <f t="shared" si="0"/>
        <v>3348.3</v>
      </c>
      <c r="Q35" s="150">
        <v>330.4</v>
      </c>
      <c r="R35" s="150">
        <v>330.4</v>
      </c>
      <c r="S35" s="150">
        <v>330.4</v>
      </c>
      <c r="T35" s="147">
        <v>743.7</v>
      </c>
      <c r="U35" s="147">
        <v>801.8</v>
      </c>
      <c r="V35" s="151">
        <v>14</v>
      </c>
      <c r="W35" s="152">
        <v>21</v>
      </c>
      <c r="X35" s="153">
        <v>128</v>
      </c>
      <c r="Y35" s="154">
        <v>828</v>
      </c>
      <c r="Z35" s="154">
        <v>82</v>
      </c>
      <c r="AA35" s="154">
        <v>350</v>
      </c>
      <c r="AB35" s="155">
        <v>1875</v>
      </c>
      <c r="AC35" s="154">
        <v>38</v>
      </c>
      <c r="AD35" s="154">
        <f t="shared" si="1"/>
        <v>127235.40000000001</v>
      </c>
      <c r="AE35" s="234">
        <f t="shared" si="2"/>
        <v>348.57499999999999</v>
      </c>
      <c r="AF35" s="234">
        <f t="shared" si="3"/>
        <v>100041.02499999999</v>
      </c>
      <c r="AG35" s="234">
        <f t="shared" si="4"/>
        <v>56922.297500000001</v>
      </c>
    </row>
    <row r="36" spans="1:35" s="204" customFormat="1">
      <c r="A36" s="145">
        <v>27</v>
      </c>
      <c r="B36" s="146" t="s">
        <v>33</v>
      </c>
      <c r="C36" s="146">
        <v>1975</v>
      </c>
      <c r="D36" s="146" t="s">
        <v>137</v>
      </c>
      <c r="E36" s="146">
        <v>5</v>
      </c>
      <c r="F36" s="146">
        <v>4</v>
      </c>
      <c r="G36" s="146"/>
      <c r="H36" s="146"/>
      <c r="I36" s="146">
        <v>147</v>
      </c>
      <c r="J36" s="146">
        <v>369</v>
      </c>
      <c r="K36" s="147"/>
      <c r="L36" s="148">
        <v>1719.3</v>
      </c>
      <c r="M36" s="147">
        <v>2490.36</v>
      </c>
      <c r="N36" s="147">
        <v>4946.5</v>
      </c>
      <c r="O36" s="147">
        <v>312.2</v>
      </c>
      <c r="P36" s="149">
        <f t="shared" si="0"/>
        <v>5258.7</v>
      </c>
      <c r="Q36" s="150">
        <f>17.6+343.3+631.7</f>
        <v>992.60000000000014</v>
      </c>
      <c r="R36" s="150">
        <f>17.6+343.3+631.7</f>
        <v>992.60000000000014</v>
      </c>
      <c r="S36" s="150">
        <f>17.6+294.3+631.7</f>
        <v>943.60000000000014</v>
      </c>
      <c r="T36" s="147">
        <v>1297.4000000000001</v>
      </c>
      <c r="U36" s="147">
        <v>1524.5</v>
      </c>
      <c r="V36" s="151">
        <v>145.9</v>
      </c>
      <c r="W36" s="152">
        <v>21</v>
      </c>
      <c r="X36" s="153">
        <v>207</v>
      </c>
      <c r="Y36" s="154">
        <v>1474</v>
      </c>
      <c r="Z36" s="154">
        <v>94</v>
      </c>
      <c r="AA36" s="154">
        <v>541</v>
      </c>
      <c r="AB36" s="155">
        <v>2346</v>
      </c>
      <c r="AC36" s="154">
        <v>38</v>
      </c>
      <c r="AD36" s="154">
        <f t="shared" si="1"/>
        <v>199830.6</v>
      </c>
      <c r="AE36" s="234">
        <f t="shared" si="2"/>
        <v>673.42499999999995</v>
      </c>
      <c r="AF36" s="234">
        <f t="shared" si="3"/>
        <v>193272.97499999998</v>
      </c>
      <c r="AG36" s="234">
        <f t="shared" si="4"/>
        <v>109970.30250000001</v>
      </c>
    </row>
    <row r="37" spans="1:35" s="206" customFormat="1">
      <c r="A37" s="145">
        <v>28</v>
      </c>
      <c r="B37" s="156" t="s">
        <v>34</v>
      </c>
      <c r="C37" s="156">
        <v>1975</v>
      </c>
      <c r="D37" s="154" t="s">
        <v>138</v>
      </c>
      <c r="E37" s="156">
        <v>5</v>
      </c>
      <c r="F37" s="156">
        <v>4</v>
      </c>
      <c r="G37" s="156"/>
      <c r="H37" s="156"/>
      <c r="I37" s="146">
        <v>57</v>
      </c>
      <c r="J37" s="146">
        <v>142</v>
      </c>
      <c r="K37" s="147"/>
      <c r="L37" s="148">
        <v>923.3</v>
      </c>
      <c r="M37" s="147">
        <v>1852.2</v>
      </c>
      <c r="N37" s="147">
        <v>2862.2</v>
      </c>
      <c r="O37" s="147">
        <v>548.4</v>
      </c>
      <c r="P37" s="157">
        <f t="shared" si="0"/>
        <v>3410.6</v>
      </c>
      <c r="Q37" s="150">
        <f>8.8+371.2</f>
        <v>380</v>
      </c>
      <c r="R37" s="150">
        <f>8.8+371.2</f>
        <v>380</v>
      </c>
      <c r="S37" s="150">
        <f>8.8+371.2</f>
        <v>380</v>
      </c>
      <c r="T37" s="158">
        <v>800.8</v>
      </c>
      <c r="U37" s="158">
        <v>0</v>
      </c>
      <c r="V37" s="151">
        <v>34.5</v>
      </c>
      <c r="W37" s="159">
        <v>21</v>
      </c>
      <c r="X37" s="160">
        <v>126</v>
      </c>
      <c r="Y37" s="161">
        <v>360</v>
      </c>
      <c r="Z37" s="161">
        <v>345</v>
      </c>
      <c r="AA37" s="161">
        <v>524</v>
      </c>
      <c r="AB37" s="162">
        <v>160</v>
      </c>
      <c r="AC37" s="154">
        <v>38</v>
      </c>
      <c r="AD37" s="154">
        <f t="shared" si="1"/>
        <v>129602.8</v>
      </c>
      <c r="AE37" s="234">
        <f t="shared" si="2"/>
        <v>259.14999999999998</v>
      </c>
      <c r="AF37" s="234">
        <f t="shared" si="3"/>
        <v>74376.049999999988</v>
      </c>
      <c r="AG37" s="234">
        <f t="shared" si="4"/>
        <v>42319.195</v>
      </c>
    </row>
    <row r="38" spans="1:35" s="204" customFormat="1">
      <c r="A38" s="145">
        <v>29</v>
      </c>
      <c r="B38" s="146" t="s">
        <v>35</v>
      </c>
      <c r="C38" s="146">
        <v>1974</v>
      </c>
      <c r="D38" s="154" t="s">
        <v>138</v>
      </c>
      <c r="E38" s="146">
        <v>5</v>
      </c>
      <c r="F38" s="146">
        <v>4</v>
      </c>
      <c r="G38" s="146"/>
      <c r="H38" s="146"/>
      <c r="I38" s="146">
        <v>58</v>
      </c>
      <c r="J38" s="146">
        <v>162</v>
      </c>
      <c r="K38" s="147"/>
      <c r="L38" s="148">
        <v>923.3</v>
      </c>
      <c r="M38" s="147">
        <v>1917.5</v>
      </c>
      <c r="N38" s="147">
        <v>2875.7</v>
      </c>
      <c r="O38" s="147">
        <f>203.8+126.6+71.3+110.8</f>
        <v>512.5</v>
      </c>
      <c r="P38" s="149">
        <f t="shared" si="0"/>
        <v>3388.2</v>
      </c>
      <c r="Q38" s="150">
        <v>356.7</v>
      </c>
      <c r="R38" s="150">
        <v>356.7</v>
      </c>
      <c r="S38" s="150">
        <v>356.7</v>
      </c>
      <c r="T38" s="147">
        <v>783.2</v>
      </c>
      <c r="U38" s="147">
        <v>0</v>
      </c>
      <c r="V38" s="151">
        <v>17.5</v>
      </c>
      <c r="W38" s="152">
        <v>21</v>
      </c>
      <c r="X38" s="153">
        <v>128</v>
      </c>
      <c r="Y38" s="154">
        <v>824</v>
      </c>
      <c r="Z38" s="154">
        <v>236</v>
      </c>
      <c r="AA38" s="154">
        <v>1605</v>
      </c>
      <c r="AB38" s="155">
        <v>1008</v>
      </c>
      <c r="AC38" s="154">
        <v>39</v>
      </c>
      <c r="AD38" s="154">
        <f t="shared" si="1"/>
        <v>132139.79999999999</v>
      </c>
      <c r="AE38" s="234">
        <f t="shared" si="2"/>
        <v>295.64999999999998</v>
      </c>
      <c r="AF38" s="234">
        <f t="shared" si="3"/>
        <v>84851.549999999988</v>
      </c>
      <c r="AG38" s="234">
        <f t="shared" si="4"/>
        <v>48279.644999999997</v>
      </c>
    </row>
    <row r="39" spans="1:35" s="204" customFormat="1">
      <c r="A39" s="145">
        <v>30</v>
      </c>
      <c r="B39" s="146" t="s">
        <v>36</v>
      </c>
      <c r="C39" s="146">
        <v>1975</v>
      </c>
      <c r="D39" s="154" t="s">
        <v>138</v>
      </c>
      <c r="E39" s="146">
        <v>5</v>
      </c>
      <c r="F39" s="146">
        <v>4</v>
      </c>
      <c r="G39" s="146"/>
      <c r="H39" s="146"/>
      <c r="I39" s="146">
        <v>59</v>
      </c>
      <c r="J39" s="146">
        <v>138</v>
      </c>
      <c r="K39" s="147"/>
      <c r="L39" s="148">
        <v>940.7</v>
      </c>
      <c r="M39" s="147">
        <v>1929.6</v>
      </c>
      <c r="N39" s="147">
        <v>2945.7</v>
      </c>
      <c r="O39" s="147">
        <v>504.7</v>
      </c>
      <c r="P39" s="149">
        <f t="shared" si="0"/>
        <v>3450.3999999999996</v>
      </c>
      <c r="Q39" s="150">
        <v>366.7</v>
      </c>
      <c r="R39" s="150">
        <v>366.7</v>
      </c>
      <c r="S39" s="150">
        <v>366.7</v>
      </c>
      <c r="T39" s="147">
        <v>770.6</v>
      </c>
      <c r="U39" s="147">
        <v>0</v>
      </c>
      <c r="V39" s="151">
        <v>34.5</v>
      </c>
      <c r="W39" s="152">
        <v>21</v>
      </c>
      <c r="X39" s="153">
        <v>114</v>
      </c>
      <c r="Y39" s="154">
        <v>360</v>
      </c>
      <c r="Z39" s="154">
        <v>220</v>
      </c>
      <c r="AA39" s="154">
        <v>768</v>
      </c>
      <c r="AB39" s="155">
        <v>276</v>
      </c>
      <c r="AC39" s="154">
        <v>38</v>
      </c>
      <c r="AD39" s="154">
        <f t="shared" si="1"/>
        <v>131115.19999999998</v>
      </c>
      <c r="AE39" s="234">
        <f t="shared" si="2"/>
        <v>251.85</v>
      </c>
      <c r="AF39" s="234">
        <f t="shared" si="3"/>
        <v>72280.95</v>
      </c>
      <c r="AG39" s="234">
        <f t="shared" si="4"/>
        <v>41127.105000000003</v>
      </c>
    </row>
    <row r="40" spans="1:35" s="204" customFormat="1">
      <c r="A40" s="145">
        <v>31</v>
      </c>
      <c r="B40" s="146" t="s">
        <v>37</v>
      </c>
      <c r="C40" s="146">
        <v>1975</v>
      </c>
      <c r="D40" s="154" t="s">
        <v>138</v>
      </c>
      <c r="E40" s="146">
        <v>5</v>
      </c>
      <c r="F40" s="146">
        <v>4</v>
      </c>
      <c r="G40" s="146"/>
      <c r="H40" s="146"/>
      <c r="I40" s="146">
        <v>60</v>
      </c>
      <c r="J40" s="146">
        <v>162</v>
      </c>
      <c r="K40" s="147"/>
      <c r="L40" s="148">
        <v>923.3</v>
      </c>
      <c r="M40" s="147">
        <v>2008</v>
      </c>
      <c r="N40" s="147">
        <v>3033.9</v>
      </c>
      <c r="O40" s="147">
        <v>387.8</v>
      </c>
      <c r="P40" s="149">
        <f t="shared" si="0"/>
        <v>3421.7000000000003</v>
      </c>
      <c r="Q40" s="150">
        <v>373.8</v>
      </c>
      <c r="R40" s="150">
        <v>373.8</v>
      </c>
      <c r="S40" s="150">
        <v>373.8</v>
      </c>
      <c r="T40" s="147">
        <v>752.6</v>
      </c>
      <c r="U40" s="147">
        <v>0</v>
      </c>
      <c r="V40" s="151">
        <v>34.5</v>
      </c>
      <c r="W40" s="152">
        <v>21</v>
      </c>
      <c r="X40" s="153">
        <v>130</v>
      </c>
      <c r="Y40" s="154">
        <v>368</v>
      </c>
      <c r="Z40" s="154">
        <v>183</v>
      </c>
      <c r="AA40" s="154">
        <v>1064</v>
      </c>
      <c r="AB40" s="155">
        <v>1580</v>
      </c>
      <c r="AC40" s="154">
        <v>38</v>
      </c>
      <c r="AD40" s="154">
        <f t="shared" si="1"/>
        <v>130024.6</v>
      </c>
      <c r="AE40" s="234">
        <f t="shared" si="2"/>
        <v>295.64999999999998</v>
      </c>
      <c r="AF40" s="234">
        <f t="shared" si="3"/>
        <v>84851.549999999988</v>
      </c>
      <c r="AG40" s="234">
        <f t="shared" si="4"/>
        <v>48279.644999999997</v>
      </c>
    </row>
    <row r="41" spans="1:35" s="208" customFormat="1" ht="13.5" thickBot="1">
      <c r="A41" s="145">
        <v>32</v>
      </c>
      <c r="B41" s="146" t="s">
        <v>38</v>
      </c>
      <c r="C41" s="146">
        <v>1978</v>
      </c>
      <c r="D41" s="146" t="s">
        <v>137</v>
      </c>
      <c r="E41" s="146">
        <v>5</v>
      </c>
      <c r="F41" s="146">
        <v>1</v>
      </c>
      <c r="G41" s="146"/>
      <c r="H41" s="146"/>
      <c r="I41" s="146">
        <v>12</v>
      </c>
      <c r="J41" s="146">
        <v>25</v>
      </c>
      <c r="K41" s="147"/>
      <c r="L41" s="148">
        <v>223.5</v>
      </c>
      <c r="M41" s="147">
        <v>447.4</v>
      </c>
      <c r="N41" s="147">
        <v>748.1</v>
      </c>
      <c r="O41" s="147">
        <v>184.9</v>
      </c>
      <c r="P41" s="149">
        <f t="shared" si="0"/>
        <v>933</v>
      </c>
      <c r="Q41" s="163">
        <f>86.5+16.1-4</f>
        <v>98.6</v>
      </c>
      <c r="R41" s="163">
        <f>86.5+16.1</f>
        <v>102.6</v>
      </c>
      <c r="S41" s="163">
        <f>86.5+16.1</f>
        <v>102.6</v>
      </c>
      <c r="T41" s="147">
        <v>212.4</v>
      </c>
      <c r="U41" s="147">
        <v>0</v>
      </c>
      <c r="V41" s="164">
        <v>26.5</v>
      </c>
      <c r="W41" s="152">
        <v>6</v>
      </c>
      <c r="X41" s="165">
        <v>45</v>
      </c>
      <c r="Y41" s="166">
        <v>56</v>
      </c>
      <c r="Z41" s="166">
        <v>71</v>
      </c>
      <c r="AA41" s="166">
        <v>105</v>
      </c>
      <c r="AB41" s="167">
        <v>0</v>
      </c>
      <c r="AC41" s="146">
        <v>35</v>
      </c>
      <c r="AD41" s="146">
        <f t="shared" si="1"/>
        <v>32655</v>
      </c>
      <c r="AE41" s="234">
        <f t="shared" si="2"/>
        <v>45.625</v>
      </c>
      <c r="AF41" s="234">
        <f t="shared" si="3"/>
        <v>13094.375</v>
      </c>
      <c r="AG41" s="234">
        <f t="shared" si="4"/>
        <v>7450.5625000000009</v>
      </c>
      <c r="AH41" s="207"/>
      <c r="AI41" s="207"/>
    </row>
    <row r="42" spans="1:35" ht="13.5" thickBot="1">
      <c r="A42" s="168"/>
      <c r="B42" s="169" t="s">
        <v>141</v>
      </c>
      <c r="C42" s="170"/>
      <c r="D42" s="170"/>
      <c r="E42" s="169"/>
      <c r="F42" s="169">
        <f>SUM(F10:F41)</f>
        <v>144</v>
      </c>
      <c r="G42" s="169"/>
      <c r="H42" s="169"/>
      <c r="I42" s="169">
        <f t="shared" ref="I42:AB42" si="5">SUM(I10:I41)</f>
        <v>2176</v>
      </c>
      <c r="J42" s="169">
        <f t="shared" si="5"/>
        <v>6980</v>
      </c>
      <c r="K42" s="169">
        <f t="shared" si="5"/>
        <v>21186.799999999999</v>
      </c>
      <c r="L42" s="169">
        <f t="shared" si="5"/>
        <v>15037.399999999998</v>
      </c>
      <c r="M42" s="169">
        <f t="shared" si="5"/>
        <v>75658.939999999988</v>
      </c>
      <c r="N42" s="169">
        <f t="shared" si="5"/>
        <v>115197.90000000001</v>
      </c>
      <c r="O42" s="169">
        <f t="shared" si="5"/>
        <v>8299.0999999999985</v>
      </c>
      <c r="P42" s="169">
        <f t="shared" si="5"/>
        <v>123497.00000000001</v>
      </c>
      <c r="Q42" s="169">
        <f t="shared" si="5"/>
        <v>13580.000000000004</v>
      </c>
      <c r="R42" s="169">
        <f t="shared" si="5"/>
        <v>13642.300000000003</v>
      </c>
      <c r="S42" s="169">
        <f t="shared" si="5"/>
        <v>13137.100000000002</v>
      </c>
      <c r="T42" s="169">
        <f t="shared" si="5"/>
        <v>28228.900000000005</v>
      </c>
      <c r="U42" s="169">
        <f t="shared" si="5"/>
        <v>18153.800000000003</v>
      </c>
      <c r="V42" s="169">
        <f t="shared" si="5"/>
        <v>904.19999999999993</v>
      </c>
      <c r="W42" s="172">
        <f t="shared" si="5"/>
        <v>756</v>
      </c>
      <c r="X42" s="173">
        <f t="shared" si="5"/>
        <v>4977</v>
      </c>
      <c r="Y42" s="171">
        <f t="shared" si="5"/>
        <v>18910</v>
      </c>
      <c r="Z42" s="171">
        <f t="shared" si="5"/>
        <v>7243</v>
      </c>
      <c r="AA42" s="171">
        <f t="shared" si="5"/>
        <v>36099</v>
      </c>
      <c r="AB42" s="174">
        <f t="shared" si="5"/>
        <v>38022</v>
      </c>
      <c r="AC42" s="166" t="s">
        <v>140</v>
      </c>
      <c r="AD42" s="166"/>
      <c r="AE42" s="234">
        <f>SUM(AE10:AE41)</f>
        <v>12738.5</v>
      </c>
      <c r="AF42" s="234">
        <f>SUM(AF10:AF41)</f>
        <v>3655949.4999999995</v>
      </c>
      <c r="AG42" s="234">
        <f t="shared" si="4"/>
        <v>2080197.05</v>
      </c>
      <c r="AH42" s="235">
        <f>'Расчет ПРЭТ 3'!F71*12</f>
        <v>2023218.2759999998</v>
      </c>
    </row>
    <row r="43" spans="1:35" ht="13.5" thickBot="1">
      <c r="A43" s="168"/>
      <c r="B43" s="169" t="s">
        <v>144</v>
      </c>
      <c r="C43" s="170"/>
      <c r="D43" s="170"/>
      <c r="E43" s="170"/>
      <c r="F43" s="169">
        <f>F42</f>
        <v>144</v>
      </c>
      <c r="G43" s="169"/>
      <c r="H43" s="169"/>
      <c r="I43" s="169">
        <f>I42</f>
        <v>2176</v>
      </c>
      <c r="J43" s="169">
        <f t="shared" ref="J43:V43" si="6">J42</f>
        <v>6980</v>
      </c>
      <c r="K43" s="169">
        <f t="shared" si="6"/>
        <v>21186.799999999999</v>
      </c>
      <c r="L43" s="169">
        <f t="shared" si="6"/>
        <v>15037.399999999998</v>
      </c>
      <c r="M43" s="169">
        <f t="shared" si="6"/>
        <v>75658.939999999988</v>
      </c>
      <c r="N43" s="169">
        <f t="shared" si="6"/>
        <v>115197.90000000001</v>
      </c>
      <c r="O43" s="169">
        <f t="shared" si="6"/>
        <v>8299.0999999999985</v>
      </c>
      <c r="P43" s="169">
        <f t="shared" si="6"/>
        <v>123497.00000000001</v>
      </c>
      <c r="Q43" s="169">
        <f t="shared" si="6"/>
        <v>13580.000000000004</v>
      </c>
      <c r="R43" s="169">
        <f t="shared" si="6"/>
        <v>13642.300000000003</v>
      </c>
      <c r="S43" s="169">
        <f t="shared" si="6"/>
        <v>13137.100000000002</v>
      </c>
      <c r="T43" s="169">
        <f t="shared" si="6"/>
        <v>28228.900000000005</v>
      </c>
      <c r="U43" s="169">
        <f t="shared" si="6"/>
        <v>18153.800000000003</v>
      </c>
      <c r="V43" s="169">
        <f t="shared" si="6"/>
        <v>904.19999999999993</v>
      </c>
      <c r="W43" s="194">
        <f>W42+W50</f>
        <v>794</v>
      </c>
      <c r="X43" s="195" t="e">
        <f>X42+X50+#REF!</f>
        <v>#REF!</v>
      </c>
      <c r="Y43" s="196" t="e">
        <f>Y42+Y50+#REF!</f>
        <v>#REF!</v>
      </c>
      <c r="Z43" s="196" t="e">
        <f>Z42+Z50+#REF!</f>
        <v>#REF!</v>
      </c>
      <c r="AA43" s="196" t="e">
        <f>AA42+AA50+#REF!</f>
        <v>#REF!</v>
      </c>
      <c r="AB43" s="197" t="e">
        <f>AB42+AB50+#REF!</f>
        <v>#REF!</v>
      </c>
      <c r="AC43" s="163" t="e">
        <f>#REF!/A43</f>
        <v>#REF!</v>
      </c>
      <c r="AD43" s="163" t="e">
        <f>#REF!/P43</f>
        <v>#REF!</v>
      </c>
      <c r="AE43" s="234">
        <f t="shared" si="2"/>
        <v>12738.5</v>
      </c>
      <c r="AF43" s="234">
        <f t="shared" si="3"/>
        <v>3655949.5</v>
      </c>
      <c r="AG43" s="234">
        <f t="shared" si="4"/>
        <v>2080197.05</v>
      </c>
    </row>
    <row r="44" spans="1:35">
      <c r="A44" s="209"/>
      <c r="B44" s="210"/>
      <c r="C44" s="209"/>
      <c r="D44" s="209"/>
      <c r="E44" s="209"/>
      <c r="F44" s="210"/>
      <c r="G44" s="210"/>
      <c r="H44" s="210"/>
      <c r="I44" s="210"/>
      <c r="J44" s="210"/>
      <c r="K44" s="211"/>
      <c r="L44" s="212"/>
      <c r="M44" s="211"/>
      <c r="N44" s="198"/>
      <c r="O44" s="198"/>
      <c r="P44" s="211"/>
      <c r="Q44" s="213"/>
      <c r="R44" s="214">
        <f>R43-Q43</f>
        <v>62.299999999999272</v>
      </c>
      <c r="S44" s="213"/>
      <c r="T44" s="213"/>
      <c r="U44" s="213"/>
      <c r="V44" s="213"/>
      <c r="W44" s="213"/>
      <c r="X44" s="215"/>
      <c r="Y44" s="216"/>
      <c r="Z44" s="215"/>
      <c r="AA44" s="216"/>
      <c r="AB44" s="215"/>
      <c r="AD44" s="217"/>
    </row>
    <row r="45" spans="1:35">
      <c r="A45" s="209"/>
      <c r="B45" s="218"/>
      <c r="C45" s="207"/>
      <c r="D45" s="207"/>
      <c r="E45" s="207"/>
      <c r="F45" s="207"/>
      <c r="G45" s="207"/>
      <c r="H45" s="207"/>
      <c r="I45" s="207"/>
      <c r="J45" s="207"/>
      <c r="K45" s="207"/>
      <c r="L45" s="219"/>
      <c r="M45" s="207"/>
      <c r="N45" s="207"/>
      <c r="O45" s="218"/>
      <c r="AA45" s="216"/>
      <c r="AB45" s="215"/>
      <c r="AD45" s="217"/>
    </row>
    <row r="46" spans="1:35">
      <c r="A46" s="209"/>
      <c r="B46" s="220" t="s">
        <v>145</v>
      </c>
      <c r="C46" s="220"/>
      <c r="D46" s="220"/>
      <c r="E46" s="220"/>
      <c r="F46" s="220"/>
      <c r="G46" s="220"/>
      <c r="H46" s="220"/>
      <c r="I46" s="220"/>
      <c r="J46" s="220"/>
      <c r="K46" s="207"/>
      <c r="L46" s="219"/>
      <c r="M46" s="207"/>
      <c r="N46" s="207"/>
      <c r="O46" s="207"/>
      <c r="AA46" s="216"/>
      <c r="AB46" s="215"/>
      <c r="AD46" s="217"/>
    </row>
    <row r="48" spans="1:35" s="204" customFormat="1">
      <c r="A48" s="145"/>
      <c r="B48" s="146" t="s">
        <v>31</v>
      </c>
      <c r="C48" s="146">
        <v>1975</v>
      </c>
      <c r="D48" s="146" t="s">
        <v>137</v>
      </c>
      <c r="E48" s="146">
        <v>5</v>
      </c>
      <c r="F48" s="146">
        <v>6</v>
      </c>
      <c r="G48" s="146"/>
      <c r="H48" s="146" t="s">
        <v>140</v>
      </c>
      <c r="I48" s="146">
        <v>76</v>
      </c>
      <c r="J48" s="146">
        <v>214</v>
      </c>
      <c r="K48" s="147"/>
      <c r="L48" s="148">
        <v>1163.8</v>
      </c>
      <c r="M48" s="147">
        <v>2506.1999999999998</v>
      </c>
      <c r="N48" s="147">
        <v>4037.6</v>
      </c>
      <c r="O48" s="147">
        <v>180.7</v>
      </c>
      <c r="P48" s="149">
        <f>N48+O48</f>
        <v>4218.3</v>
      </c>
      <c r="Q48" s="150">
        <v>618.5</v>
      </c>
      <c r="R48" s="150">
        <v>618.5</v>
      </c>
      <c r="S48" s="150">
        <v>528</v>
      </c>
      <c r="T48" s="147">
        <v>963.3</v>
      </c>
      <c r="U48" s="147"/>
      <c r="V48" s="151">
        <v>0</v>
      </c>
      <c r="W48" s="152">
        <v>31</v>
      </c>
      <c r="X48" s="153">
        <v>173</v>
      </c>
      <c r="Y48" s="154">
        <v>1084</v>
      </c>
      <c r="Z48" s="154">
        <v>162</v>
      </c>
      <c r="AA48" s="154">
        <v>915</v>
      </c>
      <c r="AB48" s="155">
        <v>1875</v>
      </c>
      <c r="AC48" s="154">
        <v>38</v>
      </c>
      <c r="AD48" s="154">
        <f>P48*AC48</f>
        <v>160295.4</v>
      </c>
    </row>
    <row r="49" spans="1:30" ht="13.5" thickBot="1">
      <c r="A49" s="175"/>
      <c r="B49" s="176" t="s">
        <v>142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8"/>
      <c r="M49" s="177"/>
      <c r="N49" s="177"/>
      <c r="O49" s="177"/>
      <c r="P49" s="179"/>
      <c r="Q49" s="180"/>
      <c r="R49" s="180"/>
      <c r="S49" s="180"/>
      <c r="T49" s="181"/>
      <c r="U49" s="181"/>
      <c r="V49" s="182"/>
      <c r="W49" s="183"/>
      <c r="X49" s="184"/>
      <c r="Y49" s="180"/>
      <c r="Z49" s="180"/>
      <c r="AA49" s="180"/>
      <c r="AB49" s="185"/>
      <c r="AC49" s="166"/>
      <c r="AD49" s="166"/>
    </row>
    <row r="50" spans="1:30" s="204" customFormat="1" ht="13.5" thickBot="1">
      <c r="A50" s="168"/>
      <c r="B50" s="170" t="s">
        <v>143</v>
      </c>
      <c r="C50" s="170">
        <v>1982</v>
      </c>
      <c r="D50" s="170" t="s">
        <v>135</v>
      </c>
      <c r="E50" s="170">
        <v>16</v>
      </c>
      <c r="F50" s="170">
        <v>2</v>
      </c>
      <c r="G50" s="170">
        <v>4</v>
      </c>
      <c r="H50" s="170">
        <v>2</v>
      </c>
      <c r="I50" s="170">
        <v>125</v>
      </c>
      <c r="J50" s="170">
        <v>242</v>
      </c>
      <c r="K50" s="170"/>
      <c r="L50" s="186">
        <v>625.5</v>
      </c>
      <c r="M50" s="187">
        <v>4085.2</v>
      </c>
      <c r="N50" s="187">
        <v>6936.1</v>
      </c>
      <c r="O50" s="187"/>
      <c r="P50" s="188">
        <f>N50+O50</f>
        <v>6936.1</v>
      </c>
      <c r="Q50" s="189">
        <f>803.3+421.6-267.8</f>
        <v>957.10000000000014</v>
      </c>
      <c r="R50" s="189">
        <f>803.3+421.6</f>
        <v>1224.9000000000001</v>
      </c>
      <c r="S50" s="189">
        <f>803.3+421.6</f>
        <v>1224.9000000000001</v>
      </c>
      <c r="T50" s="187">
        <v>527</v>
      </c>
      <c r="U50" s="187">
        <v>495.7</v>
      </c>
      <c r="V50" s="190">
        <v>78.599999999999994</v>
      </c>
      <c r="W50" s="191">
        <v>38</v>
      </c>
      <c r="X50" s="192">
        <v>129.30000000000001</v>
      </c>
      <c r="Y50" s="189">
        <v>364</v>
      </c>
      <c r="Z50" s="189">
        <v>396</v>
      </c>
      <c r="AA50" s="189">
        <v>2461</v>
      </c>
      <c r="AB50" s="193">
        <v>0</v>
      </c>
      <c r="AC50" s="154">
        <v>31</v>
      </c>
      <c r="AD50" s="154">
        <f>P50*AC50</f>
        <v>215019.1</v>
      </c>
    </row>
    <row r="56" spans="1:30">
      <c r="K56" s="199">
        <v>534503.47</v>
      </c>
      <c r="L56" s="200">
        <f>K56*36</f>
        <v>19242124.919999998</v>
      </c>
    </row>
    <row r="57" spans="1:30">
      <c r="K57" s="199">
        <f>K56/220</f>
        <v>2429.5612272727271</v>
      </c>
    </row>
    <row r="59" spans="1:30">
      <c r="J59" s="199" t="e">
        <f>#REF!+K57</f>
        <v>#REF!</v>
      </c>
      <c r="L59" s="200">
        <v>1750000</v>
      </c>
    </row>
    <row r="60" spans="1:30">
      <c r="J60" s="199" t="e">
        <f>J59*12</f>
        <v>#REF!</v>
      </c>
    </row>
  </sheetData>
  <mergeCells count="29">
    <mergeCell ref="V5:V6"/>
    <mergeCell ref="AH5:AH6"/>
    <mergeCell ref="X5:AB5"/>
    <mergeCell ref="AC5:AC6"/>
    <mergeCell ref="AD5:AD6"/>
    <mergeCell ref="AE5:AE6"/>
    <mergeCell ref="AF5:AF6"/>
    <mergeCell ref="AG5:AG6"/>
    <mergeCell ref="Q5:Q6"/>
    <mergeCell ref="R5:R6"/>
    <mergeCell ref="S5:S6"/>
    <mergeCell ref="T5:T6"/>
    <mergeCell ref="U5:U6"/>
    <mergeCell ref="A4:AB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W5:W6"/>
    <mergeCell ref="J5:J6"/>
    <mergeCell ref="K5:L5"/>
    <mergeCell ref="M5:N5"/>
    <mergeCell ref="O5:O6"/>
    <mergeCell ref="P5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ЖЭУ №3</vt:lpstr>
      <vt:lpstr>Тариф с 01.01.18</vt:lpstr>
      <vt:lpstr>Расчет ПРЭТ 3</vt:lpstr>
      <vt:lpstr>Тех.хар-ка</vt:lpstr>
      <vt:lpstr>'ЖЭУ №3'!Заголовки_для_печати</vt:lpstr>
      <vt:lpstr>'ЖЭУ №3'!Область_печати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po3</cp:lastModifiedBy>
  <cp:lastPrinted>2018-05-22T02:28:37Z</cp:lastPrinted>
  <dcterms:created xsi:type="dcterms:W3CDTF">1996-10-08T23:32:33Z</dcterms:created>
  <dcterms:modified xsi:type="dcterms:W3CDTF">2018-05-25T02:02:04Z</dcterms:modified>
</cp:coreProperties>
</file>